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D:\xua\CBDT\CBDT 2026\Thang 4\Tuan 15\"/>
    </mc:Choice>
  </mc:AlternateContent>
  <xr:revisionPtr revIDLastSave="0" documentId="8_{32035AB4-8529-4030-9BCF-B4C1E5D6E4C3}" xr6:coauthVersionLast="47" xr6:coauthVersionMax="47" xr10:uidLastSave="{00000000-0000-0000-0000-000000000000}"/>
  <bookViews>
    <workbookView xWindow="-120" yWindow="-120" windowWidth="24240" windowHeight="13140" tabRatio="747" xr2:uid="{00000000-000D-0000-FFFF-FFFF00000000}"/>
  </bookViews>
  <sheets>
    <sheet name="59" sheetId="1" r:id="rId1"/>
    <sheet name="60" sheetId="13" r:id="rId2"/>
    <sheet name="61" sheetId="17" r:id="rId3"/>
    <sheet name="62" sheetId="19" state="hidden" r:id="rId4"/>
    <sheet name="63" sheetId="18" state="hidden" r:id="rId5"/>
    <sheet name="64" sheetId="20" state="hidden" r:id="rId6"/>
    <sheet name="66" sheetId="14" state="hidden" r:id="rId7"/>
    <sheet name="67" sheetId="9" state="hidden" r:id="rId8"/>
    <sheet name="68" sheetId="10" state="hidden" r:id="rId9"/>
    <sheet name="69" sheetId="11" r:id="rId10"/>
    <sheet name="PL1" sheetId="21" r:id="rId11"/>
    <sheet name="PL2" sheetId="22" r:id="rId12"/>
    <sheet name="PL3" sheetId="23" r:id="rId13"/>
    <sheet name="DP" sheetId="25" state="hidden" r:id="rId14"/>
  </sheets>
  <externalReferences>
    <externalReference r:id="rId15"/>
    <externalReference r:id="rId16"/>
    <externalReference r:id="rId17"/>
    <externalReference r:id="rId18"/>
  </externalReferences>
  <definedNames>
    <definedName name="_xlnm._FilterDatabase" localSheetId="3" hidden="1">'62'!$A$7:$L$76</definedName>
    <definedName name="_xlnm.Print_Titles" localSheetId="1">'60'!$5:$6</definedName>
    <definedName name="_xlnm.Print_Titles" localSheetId="2">'61'!$5:$6</definedName>
    <definedName name="_xlnm.Print_Titles" localSheetId="3">'62'!$6:$6</definedName>
    <definedName name="_xlnm.Print_Titles" localSheetId="4">'63'!$6:$6</definedName>
    <definedName name="_xlnm.Print_Titles" localSheetId="5">'64'!$7:$7</definedName>
    <definedName name="_xlnm.Print_Titles" localSheetId="7">'67'!$7:$8</definedName>
    <definedName name="_xlnm.Print_Titles" localSheetId="8">'68'!$6:$7</definedName>
    <definedName name="_xlnm.Print_Titles" localSheetId="9">'69'!$5:$6</definedName>
    <definedName name="_xlnm.Print_Titles" localSheetId="11">'PL2'!$5:$7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7" l="1"/>
  <c r="E11" i="9" l="1"/>
  <c r="H12" i="20"/>
  <c r="H8" i="20" s="1"/>
  <c r="H34" i="20"/>
  <c r="H9" i="20"/>
  <c r="A3" i="20"/>
  <c r="A3" i="25"/>
  <c r="F7" i="25"/>
  <c r="G7" i="25" s="1"/>
  <c r="H7" i="25"/>
  <c r="A3" i="23"/>
  <c r="Z14" i="23"/>
  <c r="W14" i="23"/>
  <c r="W11" i="23" s="1"/>
  <c r="S14" i="23"/>
  <c r="P14" i="23"/>
  <c r="M14" i="23"/>
  <c r="J14" i="23"/>
  <c r="G14" i="23" s="1"/>
  <c r="C14" i="23"/>
  <c r="Z13" i="23"/>
  <c r="W13" i="23"/>
  <c r="S13" i="23"/>
  <c r="P13" i="23"/>
  <c r="M13" i="23"/>
  <c r="J13" i="23"/>
  <c r="I13" i="23" s="1"/>
  <c r="C13" i="23"/>
  <c r="AA12" i="23"/>
  <c r="Z12" i="23" s="1"/>
  <c r="Z11" i="23" s="1"/>
  <c r="AF11" i="23" s="1"/>
  <c r="W12" i="23"/>
  <c r="S12" i="23"/>
  <c r="P12" i="23"/>
  <c r="O12" i="23" s="1"/>
  <c r="M12" i="23"/>
  <c r="J12" i="23"/>
  <c r="C12" i="23"/>
  <c r="AB11" i="23"/>
  <c r="Y11" i="23"/>
  <c r="X11" i="23"/>
  <c r="U11" i="23"/>
  <c r="T11" i="23"/>
  <c r="Q11" i="23"/>
  <c r="N11" i="23"/>
  <c r="L11" i="23"/>
  <c r="K11" i="23"/>
  <c r="E11" i="23"/>
  <c r="D11" i="23"/>
  <c r="A3" i="22"/>
  <c r="Q45" i="22"/>
  <c r="I45" i="22" s="1"/>
  <c r="L45" i="22"/>
  <c r="F45" i="22"/>
  <c r="C45" i="22"/>
  <c r="O44" i="22"/>
  <c r="O11" i="22" s="1"/>
  <c r="L44" i="22"/>
  <c r="I44" i="22" s="1"/>
  <c r="F44" i="22"/>
  <c r="C44" i="22"/>
  <c r="L43" i="22"/>
  <c r="K43" i="22"/>
  <c r="I43" i="22" s="1"/>
  <c r="F43" i="22"/>
  <c r="C43" i="22"/>
  <c r="P42" i="22"/>
  <c r="I42" i="22" s="1"/>
  <c r="L42" i="22"/>
  <c r="F42" i="22"/>
  <c r="C42" i="22"/>
  <c r="I41" i="22"/>
  <c r="C41" i="22"/>
  <c r="U40" i="22"/>
  <c r="L40" i="22"/>
  <c r="I40" i="22"/>
  <c r="S40" i="22" s="1"/>
  <c r="C40" i="22"/>
  <c r="V40" i="22" s="1"/>
  <c r="R39" i="22"/>
  <c r="Q39" i="22"/>
  <c r="P39" i="22"/>
  <c r="O39" i="22"/>
  <c r="N39" i="22"/>
  <c r="M39" i="22"/>
  <c r="L39" i="22"/>
  <c r="K39" i="22"/>
  <c r="U39" i="22" s="1"/>
  <c r="J39" i="22"/>
  <c r="H39" i="22"/>
  <c r="G39" i="22"/>
  <c r="F39" i="22"/>
  <c r="E39" i="22"/>
  <c r="D39" i="22"/>
  <c r="U38" i="22"/>
  <c r="L38" i="22"/>
  <c r="I38" i="22"/>
  <c r="S38" i="22" s="1"/>
  <c r="F38" i="22"/>
  <c r="C38" i="22"/>
  <c r="U37" i="22"/>
  <c r="L37" i="22"/>
  <c r="I37" i="22"/>
  <c r="F37" i="22"/>
  <c r="C37" i="22"/>
  <c r="V37" i="22" s="1"/>
  <c r="U36" i="22"/>
  <c r="L36" i="22"/>
  <c r="I36" i="22" s="1"/>
  <c r="S36" i="22" s="1"/>
  <c r="F36" i="22"/>
  <c r="C36" i="22"/>
  <c r="U35" i="22"/>
  <c r="L35" i="22"/>
  <c r="I35" i="22"/>
  <c r="S35" i="22" s="1"/>
  <c r="F35" i="22"/>
  <c r="C35" i="22"/>
  <c r="U34" i="22"/>
  <c r="L34" i="22"/>
  <c r="I34" i="22"/>
  <c r="F34" i="22"/>
  <c r="C34" i="22" s="1"/>
  <c r="V34" i="22" s="1"/>
  <c r="U33" i="22"/>
  <c r="L33" i="22"/>
  <c r="I33" i="22" s="1"/>
  <c r="S33" i="22" s="1"/>
  <c r="F33" i="22"/>
  <c r="C33" i="22"/>
  <c r="U32" i="22"/>
  <c r="L32" i="22"/>
  <c r="I32" i="22"/>
  <c r="F32" i="22"/>
  <c r="C32" i="22"/>
  <c r="V32" i="22" s="1"/>
  <c r="U31" i="22"/>
  <c r="L31" i="22"/>
  <c r="I31" i="22"/>
  <c r="F31" i="22"/>
  <c r="C31" i="22" s="1"/>
  <c r="V31" i="22" s="1"/>
  <c r="U30" i="22"/>
  <c r="L30" i="22"/>
  <c r="I30" i="22" s="1"/>
  <c r="S30" i="22" s="1"/>
  <c r="F30" i="22"/>
  <c r="C30" i="22"/>
  <c r="U29" i="22"/>
  <c r="L29" i="22"/>
  <c r="I29" i="22"/>
  <c r="S29" i="22" s="1"/>
  <c r="F29" i="22"/>
  <c r="C29" i="22"/>
  <c r="U28" i="22"/>
  <c r="L28" i="22"/>
  <c r="I28" i="22"/>
  <c r="F28" i="22"/>
  <c r="C28" i="22" s="1"/>
  <c r="V28" i="22" s="1"/>
  <c r="U27" i="22"/>
  <c r="L27" i="22"/>
  <c r="I27" i="22"/>
  <c r="F27" i="22"/>
  <c r="F23" i="22" s="1"/>
  <c r="C27" i="22"/>
  <c r="V27" i="22" s="1"/>
  <c r="U26" i="22"/>
  <c r="L26" i="22"/>
  <c r="I26" i="22"/>
  <c r="S26" i="22" s="1"/>
  <c r="F26" i="22"/>
  <c r="C26" i="22"/>
  <c r="U25" i="22"/>
  <c r="L25" i="22"/>
  <c r="I25" i="22"/>
  <c r="F25" i="22"/>
  <c r="C25" i="22"/>
  <c r="V25" i="22" s="1"/>
  <c r="U24" i="22"/>
  <c r="L24" i="22"/>
  <c r="L23" i="22" s="1"/>
  <c r="F24" i="22"/>
  <c r="C24" i="22"/>
  <c r="Y23" i="22"/>
  <c r="R23" i="22"/>
  <c r="Q23" i="22"/>
  <c r="P23" i="22"/>
  <c r="N23" i="22"/>
  <c r="M23" i="22"/>
  <c r="K23" i="22"/>
  <c r="J23" i="22"/>
  <c r="H23" i="22"/>
  <c r="G23" i="22"/>
  <c r="E23" i="22"/>
  <c r="D23" i="22"/>
  <c r="K22" i="22"/>
  <c r="I22" i="22" s="1"/>
  <c r="Y22" i="22" s="1"/>
  <c r="U21" i="22"/>
  <c r="L21" i="22"/>
  <c r="I21" i="22"/>
  <c r="F21" i="22"/>
  <c r="C21" i="22" s="1"/>
  <c r="U20" i="22"/>
  <c r="L20" i="22"/>
  <c r="I20" i="22"/>
  <c r="F20" i="22"/>
  <c r="C20" i="22" s="1"/>
  <c r="U19" i="22"/>
  <c r="L19" i="22"/>
  <c r="I19" i="22" s="1"/>
  <c r="F19" i="22"/>
  <c r="C19" i="22" s="1"/>
  <c r="U18" i="22"/>
  <c r="L18" i="22"/>
  <c r="I18" i="22" s="1"/>
  <c r="F18" i="22"/>
  <c r="C18" i="22" s="1"/>
  <c r="U17" i="22"/>
  <c r="N17" i="22"/>
  <c r="N12" i="22" s="1"/>
  <c r="N11" i="22" s="1"/>
  <c r="N9" i="22" s="1"/>
  <c r="L17" i="22"/>
  <c r="I17" i="22" s="1"/>
  <c r="H17" i="22"/>
  <c r="F17" i="22"/>
  <c r="C17" i="22" s="1"/>
  <c r="L16" i="22"/>
  <c r="K16" i="22"/>
  <c r="Y12" i="22" s="1"/>
  <c r="I16" i="22"/>
  <c r="H16" i="22"/>
  <c r="F16" i="22"/>
  <c r="E16" i="22"/>
  <c r="U15" i="22"/>
  <c r="L15" i="22"/>
  <c r="I15" i="22" s="1"/>
  <c r="S15" i="22" s="1"/>
  <c r="F15" i="22"/>
  <c r="C15" i="22"/>
  <c r="O15" i="22" s="1"/>
  <c r="U14" i="22"/>
  <c r="L14" i="22"/>
  <c r="I14" i="22" s="1"/>
  <c r="F14" i="22"/>
  <c r="C14" i="22"/>
  <c r="U13" i="22"/>
  <c r="L13" i="22"/>
  <c r="L12" i="22" s="1"/>
  <c r="F13" i="22"/>
  <c r="C13" i="22"/>
  <c r="R12" i="22"/>
  <c r="Q12" i="22"/>
  <c r="P12" i="22"/>
  <c r="M12" i="22"/>
  <c r="M11" i="22" s="1"/>
  <c r="J12" i="22"/>
  <c r="J11" i="22" s="1"/>
  <c r="H12" i="22"/>
  <c r="H11" i="22" s="1"/>
  <c r="G12" i="22"/>
  <c r="E12" i="22"/>
  <c r="D12" i="22"/>
  <c r="D11" i="22" s="1"/>
  <c r="D26" i="21"/>
  <c r="E26" i="21" s="1"/>
  <c r="A3" i="21"/>
  <c r="G29" i="21"/>
  <c r="E27" i="21"/>
  <c r="F25" i="21"/>
  <c r="E25" i="21"/>
  <c r="D24" i="21"/>
  <c r="C24" i="21"/>
  <c r="I22" i="21"/>
  <c r="I23" i="21" s="1"/>
  <c r="C22" i="21"/>
  <c r="F22" i="21" s="1"/>
  <c r="E21" i="21"/>
  <c r="D20" i="21"/>
  <c r="I19" i="21"/>
  <c r="I21" i="21" s="1"/>
  <c r="E18" i="21"/>
  <c r="E17" i="21"/>
  <c r="E16" i="21"/>
  <c r="F11" i="21"/>
  <c r="E11" i="21"/>
  <c r="J10" i="21"/>
  <c r="C10" i="21"/>
  <c r="F10" i="21" s="1"/>
  <c r="G9" i="21"/>
  <c r="D9" i="21"/>
  <c r="G8" i="21"/>
  <c r="G11" i="11"/>
  <c r="G15" i="11"/>
  <c r="G13" i="11"/>
  <c r="G12" i="11"/>
  <c r="G10" i="11"/>
  <c r="D11" i="9"/>
  <c r="L11" i="9"/>
  <c r="E9" i="19"/>
  <c r="E10" i="19"/>
  <c r="E11" i="19"/>
  <c r="E12" i="19"/>
  <c r="E13" i="19"/>
  <c r="E14" i="19"/>
  <c r="E15" i="19"/>
  <c r="E16" i="19"/>
  <c r="E17" i="19"/>
  <c r="E18" i="19"/>
  <c r="E19" i="19"/>
  <c r="E20" i="19"/>
  <c r="E21" i="19"/>
  <c r="E22" i="19"/>
  <c r="E23" i="19"/>
  <c r="E24" i="19"/>
  <c r="E25" i="19"/>
  <c r="E26" i="19"/>
  <c r="E27" i="19"/>
  <c r="E28" i="19"/>
  <c r="E29" i="19"/>
  <c r="E30" i="19"/>
  <c r="E31" i="19"/>
  <c r="E32" i="19"/>
  <c r="E33" i="19"/>
  <c r="E34" i="19"/>
  <c r="E35" i="19"/>
  <c r="E36" i="19"/>
  <c r="E37" i="19"/>
  <c r="E38" i="19"/>
  <c r="E39" i="19"/>
  <c r="E40" i="19"/>
  <c r="E41" i="19"/>
  <c r="E42" i="19"/>
  <c r="E43" i="19"/>
  <c r="E44" i="19"/>
  <c r="E45" i="19"/>
  <c r="E46" i="19"/>
  <c r="E47" i="19"/>
  <c r="E48" i="19"/>
  <c r="E49" i="19"/>
  <c r="E50" i="19"/>
  <c r="E51" i="19"/>
  <c r="E52" i="19"/>
  <c r="E53" i="19"/>
  <c r="E54" i="19"/>
  <c r="E55" i="19"/>
  <c r="E56" i="19"/>
  <c r="E57" i="19"/>
  <c r="E58" i="19"/>
  <c r="E59" i="19"/>
  <c r="E60" i="19"/>
  <c r="E61" i="19"/>
  <c r="E62" i="19"/>
  <c r="E63" i="19"/>
  <c r="E64" i="19"/>
  <c r="E65" i="19"/>
  <c r="E66" i="19"/>
  <c r="E67" i="19"/>
  <c r="E68" i="19"/>
  <c r="E69" i="19"/>
  <c r="E72" i="19"/>
  <c r="E73" i="19"/>
  <c r="E74" i="19"/>
  <c r="E75" i="19"/>
  <c r="E76" i="19"/>
  <c r="E8" i="19"/>
  <c r="K14" i="1"/>
  <c r="F61" i="17"/>
  <c r="G122" i="13"/>
  <c r="S14" i="22" l="1"/>
  <c r="O14" i="22"/>
  <c r="V42" i="22"/>
  <c r="V36" i="22"/>
  <c r="E11" i="22"/>
  <c r="V29" i="22"/>
  <c r="S31" i="22"/>
  <c r="G11" i="22"/>
  <c r="I13" i="22"/>
  <c r="S13" i="22" s="1"/>
  <c r="I24" i="22"/>
  <c r="S24" i="22" s="1"/>
  <c r="V45" i="22"/>
  <c r="V43" i="22"/>
  <c r="L11" i="22"/>
  <c r="S34" i="22"/>
  <c r="U23" i="22"/>
  <c r="V30" i="22"/>
  <c r="S32" i="22"/>
  <c r="C16" i="22"/>
  <c r="V16" i="22" s="1"/>
  <c r="S25" i="22"/>
  <c r="V35" i="22"/>
  <c r="S37" i="22"/>
  <c r="S27" i="22"/>
  <c r="U16" i="22"/>
  <c r="P11" i="22"/>
  <c r="M11" i="23"/>
  <c r="Q11" i="22"/>
  <c r="V33" i="22"/>
  <c r="V44" i="22"/>
  <c r="R11" i="22"/>
  <c r="V26" i="22"/>
  <c r="S28" i="22"/>
  <c r="V38" i="22"/>
  <c r="O14" i="23"/>
  <c r="O11" i="23" s="1"/>
  <c r="S11" i="23"/>
  <c r="I7" i="25"/>
  <c r="I12" i="23"/>
  <c r="H13" i="23"/>
  <c r="AE13" i="23" s="1"/>
  <c r="H14" i="23"/>
  <c r="F14" i="23" s="1"/>
  <c r="O13" i="23"/>
  <c r="C11" i="23"/>
  <c r="V13" i="23"/>
  <c r="V14" i="23"/>
  <c r="R14" i="23" s="1"/>
  <c r="R11" i="23" s="1"/>
  <c r="I14" i="23"/>
  <c r="V12" i="23"/>
  <c r="J11" i="23"/>
  <c r="AA11" i="23"/>
  <c r="G12" i="23"/>
  <c r="G13" i="23"/>
  <c r="H12" i="23"/>
  <c r="P11" i="23"/>
  <c r="V20" i="22"/>
  <c r="S20" i="22"/>
  <c r="O20" i="22"/>
  <c r="C12" i="22"/>
  <c r="V17" i="22"/>
  <c r="S17" i="22"/>
  <c r="O17" i="22"/>
  <c r="V18" i="22"/>
  <c r="S18" i="22"/>
  <c r="O18" i="22"/>
  <c r="V19" i="22"/>
  <c r="S19" i="22"/>
  <c r="O19" i="22"/>
  <c r="V21" i="22"/>
  <c r="S21" i="22"/>
  <c r="O21" i="22"/>
  <c r="S16" i="22"/>
  <c r="V13" i="22"/>
  <c r="V14" i="22"/>
  <c r="V15" i="22"/>
  <c r="F12" i="22"/>
  <c r="F11" i="22" s="1"/>
  <c r="C23" i="22"/>
  <c r="O25" i="22"/>
  <c r="O26" i="22"/>
  <c r="O27" i="22"/>
  <c r="O28" i="22"/>
  <c r="O29" i="22"/>
  <c r="O30" i="22"/>
  <c r="O31" i="22"/>
  <c r="O32" i="22"/>
  <c r="O33" i="22"/>
  <c r="O34" i="22"/>
  <c r="O35" i="22"/>
  <c r="O36" i="22"/>
  <c r="O37" i="22"/>
  <c r="I39" i="22"/>
  <c r="C39" i="22"/>
  <c r="V39" i="22" s="1"/>
  <c r="K12" i="22"/>
  <c r="I20" i="21"/>
  <c r="E24" i="21"/>
  <c r="C20" i="21"/>
  <c r="C19" i="21" s="1"/>
  <c r="E22" i="21"/>
  <c r="E20" i="21" s="1"/>
  <c r="E10" i="21"/>
  <c r="E9" i="21" s="1"/>
  <c r="C9" i="21"/>
  <c r="F24" i="21"/>
  <c r="D19" i="21"/>
  <c r="O16" i="22" l="1"/>
  <c r="I23" i="22"/>
  <c r="S23" i="22" s="1"/>
  <c r="O24" i="22"/>
  <c r="V24" i="22"/>
  <c r="I12" i="22"/>
  <c r="X11" i="22" s="1"/>
  <c r="O13" i="22"/>
  <c r="O12" i="22" s="1"/>
  <c r="V11" i="23"/>
  <c r="I11" i="23"/>
  <c r="F13" i="23"/>
  <c r="AC13" i="23" s="1"/>
  <c r="G11" i="23"/>
  <c r="AD11" i="23" s="1"/>
  <c r="F12" i="23"/>
  <c r="AE12" i="23"/>
  <c r="H11" i="23"/>
  <c r="AE11" i="23" s="1"/>
  <c r="K11" i="22"/>
  <c r="U12" i="22"/>
  <c r="C11" i="22"/>
  <c r="O23" i="22"/>
  <c r="S12" i="22"/>
  <c r="I11" i="22"/>
  <c r="S39" i="22"/>
  <c r="V23" i="22"/>
  <c r="F20" i="21"/>
  <c r="F9" i="21"/>
  <c r="F19" i="21"/>
  <c r="E19" i="21"/>
  <c r="AC12" i="23" l="1"/>
  <c r="F11" i="23"/>
  <c r="AC11" i="23" s="1"/>
  <c r="V11" i="22"/>
  <c r="S11" i="22"/>
  <c r="U11" i="22"/>
  <c r="K9" i="22"/>
  <c r="C35" i="17" l="1"/>
  <c r="C52" i="17"/>
  <c r="C50" i="17"/>
  <c r="C49" i="17"/>
  <c r="C45" i="17"/>
  <c r="C42" i="17"/>
  <c r="C47" i="17"/>
  <c r="H120" i="13"/>
  <c r="H71" i="19" l="1"/>
  <c r="E71" i="19" s="1"/>
  <c r="C14" i="21"/>
  <c r="D14" i="21" s="1"/>
  <c r="E120" i="13"/>
  <c r="E119" i="13" s="1"/>
  <c r="F119" i="13"/>
  <c r="F117" i="13" s="1"/>
  <c r="F116" i="13" s="1"/>
  <c r="G119" i="13"/>
  <c r="G117" i="13" s="1"/>
  <c r="G116" i="13" s="1"/>
  <c r="H119" i="13"/>
  <c r="C120" i="13"/>
  <c r="C119" i="13" s="1"/>
  <c r="C118" i="13"/>
  <c r="C117" i="13" s="1"/>
  <c r="C116" i="13" s="1"/>
  <c r="H118" i="13"/>
  <c r="E118" i="13" s="1"/>
  <c r="H117" i="13" l="1"/>
  <c r="H116" i="13" s="1"/>
  <c r="E117" i="13"/>
  <c r="F14" i="21"/>
  <c r="E14" i="21"/>
  <c r="C13" i="21"/>
  <c r="H70" i="19"/>
  <c r="E70" i="19" s="1"/>
  <c r="D118" i="13"/>
  <c r="D120" i="13"/>
  <c r="D119" i="13" s="1"/>
  <c r="E7" i="19"/>
  <c r="H7" i="19"/>
  <c r="G7" i="19"/>
  <c r="F7" i="19"/>
  <c r="A4" i="19"/>
  <c r="D117" i="13" l="1"/>
  <c r="D116" i="13" s="1"/>
  <c r="D13" i="21"/>
  <c r="C12" i="21"/>
  <c r="G7" i="18"/>
  <c r="A4" i="18"/>
  <c r="F13" i="21" l="1"/>
  <c r="E13" i="21"/>
  <c r="E12" i="21" s="1"/>
  <c r="D12" i="21"/>
  <c r="D8" i="21" s="1"/>
  <c r="F12" i="21"/>
  <c r="C8" i="21"/>
  <c r="H9" i="21" l="1"/>
  <c r="G10" i="21"/>
  <c r="J11" i="21"/>
  <c r="D29" i="21"/>
  <c r="E8" i="21"/>
  <c r="F8" i="21"/>
  <c r="G30" i="21" l="1"/>
  <c r="I29" i="21"/>
  <c r="I30" i="21" s="1"/>
  <c r="I9" i="1"/>
  <c r="F8" i="11" l="1"/>
  <c r="G8" i="11"/>
  <c r="E15" i="11"/>
  <c r="H15" i="11" s="1"/>
  <c r="E16" i="11"/>
  <c r="H16" i="11" s="1"/>
  <c r="D19" i="9"/>
  <c r="D20" i="9"/>
  <c r="D21" i="9"/>
  <c r="D16" i="9"/>
  <c r="F18" i="1" l="1"/>
  <c r="F17" i="1"/>
  <c r="F16" i="1" s="1"/>
  <c r="F14" i="1"/>
  <c r="F13" i="1"/>
  <c r="F47" i="17"/>
  <c r="F48" i="17"/>
  <c r="D15" i="14"/>
  <c r="D12" i="14" s="1"/>
  <c r="D11" i="14" s="1"/>
  <c r="E15" i="14"/>
  <c r="E12" i="14" s="1"/>
  <c r="E11" i="14" s="1"/>
  <c r="E27" i="14" l="1"/>
  <c r="E26" i="14" s="1"/>
  <c r="E24" i="14" s="1"/>
  <c r="F45" i="17" l="1"/>
  <c r="C32" i="17" l="1"/>
  <c r="C40" i="17"/>
  <c r="C48" i="17"/>
  <c r="I118" i="13"/>
  <c r="K120" i="13"/>
  <c r="K118" i="13"/>
  <c r="E61" i="17" l="1"/>
  <c r="K15" i="1" s="1"/>
  <c r="E60" i="17"/>
  <c r="E59" i="17" s="1"/>
  <c r="F59" i="17"/>
  <c r="E58" i="17"/>
  <c r="H57" i="17"/>
  <c r="G57" i="17"/>
  <c r="F57" i="17"/>
  <c r="D57" i="17"/>
  <c r="C57" i="17"/>
  <c r="E56" i="17"/>
  <c r="T55" i="17"/>
  <c r="E55" i="17"/>
  <c r="E54" i="17"/>
  <c r="E52" i="17"/>
  <c r="D52" i="17"/>
  <c r="E51" i="17"/>
  <c r="D51" i="17"/>
  <c r="E50" i="17"/>
  <c r="D50" i="17"/>
  <c r="E49" i="17"/>
  <c r="G49" i="17" s="1"/>
  <c r="D49" i="17"/>
  <c r="E48" i="17"/>
  <c r="G48" i="17" s="1"/>
  <c r="D48" i="17"/>
  <c r="E47" i="17"/>
  <c r="E46" i="17"/>
  <c r="D46" i="17"/>
  <c r="T45" i="17"/>
  <c r="E45" i="17"/>
  <c r="C39" i="17"/>
  <c r="E44" i="17"/>
  <c r="D44" i="17"/>
  <c r="E43" i="17"/>
  <c r="D43" i="17"/>
  <c r="T42" i="17"/>
  <c r="E42" i="17"/>
  <c r="G42" i="17" s="1"/>
  <c r="D42" i="17"/>
  <c r="F39" i="17"/>
  <c r="E39" i="17" s="1"/>
  <c r="E41" i="17"/>
  <c r="E40" i="17"/>
  <c r="D40" i="17"/>
  <c r="T39" i="17"/>
  <c r="N38" i="17"/>
  <c r="M38" i="17"/>
  <c r="M36" i="17" s="1"/>
  <c r="N36" i="17" s="1"/>
  <c r="F36" i="17"/>
  <c r="E36" i="17"/>
  <c r="D36" i="17"/>
  <c r="C36" i="17"/>
  <c r="E35" i="17"/>
  <c r="D35" i="17"/>
  <c r="D33" i="17" s="1"/>
  <c r="E34" i="17"/>
  <c r="F33" i="17"/>
  <c r="C33" i="17"/>
  <c r="E32" i="17"/>
  <c r="D32" i="17"/>
  <c r="D30" i="17" s="1"/>
  <c r="E31" i="17"/>
  <c r="F30" i="17"/>
  <c r="C30" i="17"/>
  <c r="E29" i="17"/>
  <c r="E28" i="17"/>
  <c r="F27" i="17"/>
  <c r="D27" i="17"/>
  <c r="C27" i="17"/>
  <c r="E25" i="17"/>
  <c r="E24" i="17"/>
  <c r="E23" i="17"/>
  <c r="E22" i="17"/>
  <c r="E21" i="17"/>
  <c r="F20" i="17"/>
  <c r="E20" i="17" s="1"/>
  <c r="E19" i="17"/>
  <c r="E18" i="17"/>
  <c r="E17" i="17"/>
  <c r="F16" i="17"/>
  <c r="F10" i="17" s="1"/>
  <c r="E10" i="17" s="1"/>
  <c r="E15" i="17"/>
  <c r="E14" i="17"/>
  <c r="E13" i="17"/>
  <c r="E12" i="17"/>
  <c r="E11" i="17"/>
  <c r="M7" i="17"/>
  <c r="E124" i="13"/>
  <c r="E123" i="13"/>
  <c r="E122" i="13"/>
  <c r="E116" i="13" s="1"/>
  <c r="E121" i="13"/>
  <c r="E115" i="13"/>
  <c r="E114" i="13"/>
  <c r="E113" i="13"/>
  <c r="E112" i="13"/>
  <c r="E111" i="13"/>
  <c r="E110" i="13"/>
  <c r="E109" i="13"/>
  <c r="E108" i="13"/>
  <c r="E107" i="13"/>
  <c r="E106" i="13"/>
  <c r="E105" i="13"/>
  <c r="E104" i="13"/>
  <c r="E103" i="13"/>
  <c r="E102" i="13"/>
  <c r="E101" i="13"/>
  <c r="G100" i="13"/>
  <c r="F100" i="13"/>
  <c r="E99" i="13"/>
  <c r="E98" i="13"/>
  <c r="E97" i="13"/>
  <c r="E96" i="13"/>
  <c r="E95" i="13"/>
  <c r="E94" i="13"/>
  <c r="E93" i="13"/>
  <c r="E92" i="13"/>
  <c r="E91" i="13"/>
  <c r="E90" i="13"/>
  <c r="H89" i="13"/>
  <c r="G89" i="13"/>
  <c r="F89" i="13"/>
  <c r="D89" i="13"/>
  <c r="C89" i="13"/>
  <c r="E88" i="13"/>
  <c r="I88" i="13" s="1"/>
  <c r="E87" i="13"/>
  <c r="I87" i="13" s="1"/>
  <c r="E86" i="13"/>
  <c r="I86" i="13" s="1"/>
  <c r="E85" i="13"/>
  <c r="I85" i="13" s="1"/>
  <c r="E84" i="13"/>
  <c r="I84" i="13" s="1"/>
  <c r="E83" i="13"/>
  <c r="I83" i="13" s="1"/>
  <c r="E82" i="13"/>
  <c r="I82" i="13" s="1"/>
  <c r="E81" i="13"/>
  <c r="I81" i="13" s="1"/>
  <c r="E80" i="13"/>
  <c r="I80" i="13" s="1"/>
  <c r="E79" i="13"/>
  <c r="I79" i="13" s="1"/>
  <c r="E78" i="13"/>
  <c r="E77" i="13"/>
  <c r="E76" i="13"/>
  <c r="E75" i="13"/>
  <c r="I75" i="13" s="1"/>
  <c r="E74" i="13"/>
  <c r="E73" i="13"/>
  <c r="H72" i="13"/>
  <c r="G72" i="13"/>
  <c r="F72" i="13"/>
  <c r="F71" i="13"/>
  <c r="E71" i="13" s="1"/>
  <c r="E70" i="13"/>
  <c r="I70" i="13" s="1"/>
  <c r="E69" i="13"/>
  <c r="E68" i="13"/>
  <c r="E67" i="13"/>
  <c r="H66" i="13"/>
  <c r="G66" i="13"/>
  <c r="F66" i="13"/>
  <c r="D66" i="13"/>
  <c r="C66" i="13"/>
  <c r="E65" i="13"/>
  <c r="E64" i="13"/>
  <c r="H63" i="13"/>
  <c r="G63" i="13"/>
  <c r="F63" i="13"/>
  <c r="D63" i="13"/>
  <c r="C63" i="13"/>
  <c r="E62" i="13"/>
  <c r="E61" i="13"/>
  <c r="H60" i="13"/>
  <c r="G60" i="13"/>
  <c r="F60" i="13"/>
  <c r="D60" i="13"/>
  <c r="C60" i="13"/>
  <c r="E59" i="13"/>
  <c r="E58" i="13"/>
  <c r="E57" i="13"/>
  <c r="H56" i="13"/>
  <c r="G56" i="13"/>
  <c r="F56" i="13"/>
  <c r="E56" i="13" s="1"/>
  <c r="E55" i="13"/>
  <c r="H54" i="13"/>
  <c r="H52" i="13" s="1"/>
  <c r="G54" i="13"/>
  <c r="E54" i="13" s="1"/>
  <c r="E53" i="13"/>
  <c r="F52" i="13"/>
  <c r="E51" i="13"/>
  <c r="E50" i="13"/>
  <c r="H49" i="13"/>
  <c r="G49" i="13"/>
  <c r="F49" i="13"/>
  <c r="D49" i="13"/>
  <c r="C49" i="13"/>
  <c r="E48" i="13"/>
  <c r="I48" i="13" s="1"/>
  <c r="E47" i="13"/>
  <c r="E46" i="13"/>
  <c r="E45" i="13"/>
  <c r="E43" i="13"/>
  <c r="E42" i="13"/>
  <c r="E41" i="13"/>
  <c r="E40" i="13"/>
  <c r="E39" i="13"/>
  <c r="E38" i="13"/>
  <c r="H37" i="13"/>
  <c r="G37" i="13"/>
  <c r="F37" i="13"/>
  <c r="E36" i="13"/>
  <c r="I36" i="13" s="1"/>
  <c r="E35" i="13"/>
  <c r="I35" i="13" s="1"/>
  <c r="E34" i="13"/>
  <c r="I34" i="13" s="1"/>
  <c r="E33" i="13"/>
  <c r="I33" i="13" s="1"/>
  <c r="E32" i="13"/>
  <c r="I32" i="13" s="1"/>
  <c r="E31" i="13"/>
  <c r="I31" i="13" s="1"/>
  <c r="E30" i="13"/>
  <c r="I30" i="13" s="1"/>
  <c r="E29" i="13"/>
  <c r="I29" i="13" s="1"/>
  <c r="E28" i="13"/>
  <c r="I28" i="13" s="1"/>
  <c r="E27" i="13"/>
  <c r="I27" i="13" s="1"/>
  <c r="E26" i="13"/>
  <c r="I26" i="13" s="1"/>
  <c r="H25" i="13"/>
  <c r="G25" i="13"/>
  <c r="F25" i="13"/>
  <c r="D25" i="13"/>
  <c r="C25" i="13"/>
  <c r="E24" i="13"/>
  <c r="E23" i="13"/>
  <c r="E22" i="13"/>
  <c r="E21" i="13"/>
  <c r="E20" i="13"/>
  <c r="H19" i="13"/>
  <c r="G19" i="13"/>
  <c r="F19" i="13"/>
  <c r="E18" i="13"/>
  <c r="E17" i="13"/>
  <c r="E16" i="13"/>
  <c r="E15" i="13"/>
  <c r="E14" i="13"/>
  <c r="E13" i="13"/>
  <c r="E12" i="13"/>
  <c r="H11" i="13"/>
  <c r="G11" i="13"/>
  <c r="F11" i="13"/>
  <c r="D10" i="13" l="1"/>
  <c r="D9" i="13" s="1"/>
  <c r="E49" i="13"/>
  <c r="E63" i="13"/>
  <c r="E100" i="13"/>
  <c r="H48" i="17"/>
  <c r="E30" i="17"/>
  <c r="E72" i="13"/>
  <c r="E89" i="13"/>
  <c r="I89" i="13" s="1"/>
  <c r="H10" i="13"/>
  <c r="E19" i="13"/>
  <c r="E66" i="13"/>
  <c r="E60" i="13"/>
  <c r="E25" i="13"/>
  <c r="I25" i="13" s="1"/>
  <c r="L116" i="13"/>
  <c r="H50" i="17"/>
  <c r="E16" i="17"/>
  <c r="E27" i="17"/>
  <c r="H42" i="17"/>
  <c r="D45" i="17"/>
  <c r="T26" i="17"/>
  <c r="C26" i="17"/>
  <c r="C8" i="17" s="1"/>
  <c r="C62" i="17" s="1"/>
  <c r="E33" i="17"/>
  <c r="J39" i="17"/>
  <c r="D26" i="17"/>
  <c r="G35" i="17"/>
  <c r="F26" i="17"/>
  <c r="H49" i="17"/>
  <c r="H40" i="17"/>
  <c r="H32" i="17"/>
  <c r="E37" i="13"/>
  <c r="I37" i="13" s="1"/>
  <c r="F10" i="13"/>
  <c r="F9" i="13" s="1"/>
  <c r="F8" i="13" s="1"/>
  <c r="E11" i="13"/>
  <c r="C10" i="13"/>
  <c r="C9" i="13" s="1"/>
  <c r="C8" i="13" s="1"/>
  <c r="G39" i="17"/>
  <c r="G45" i="17"/>
  <c r="H45" i="17"/>
  <c r="H30" i="17"/>
  <c r="G40" i="17"/>
  <c r="F9" i="17"/>
  <c r="D47" i="17"/>
  <c r="E57" i="17"/>
  <c r="H35" i="17"/>
  <c r="G30" i="17"/>
  <c r="G32" i="17"/>
  <c r="G47" i="17"/>
  <c r="G50" i="17"/>
  <c r="G52" i="13"/>
  <c r="E52" i="13" s="1"/>
  <c r="I52" i="13" s="1"/>
  <c r="G33" i="17" l="1"/>
  <c r="I33" i="17"/>
  <c r="H9" i="13"/>
  <c r="H8" i="13" s="1"/>
  <c r="F11" i="1"/>
  <c r="F9" i="1" s="1"/>
  <c r="E10" i="13"/>
  <c r="I10" i="13" s="1"/>
  <c r="D39" i="17"/>
  <c r="H39" i="17" s="1"/>
  <c r="E26" i="17"/>
  <c r="N37" i="17"/>
  <c r="H33" i="17"/>
  <c r="F8" i="17"/>
  <c r="E9" i="17"/>
  <c r="H47" i="17"/>
  <c r="D8" i="13"/>
  <c r="G10" i="13"/>
  <c r="G9" i="13" s="1"/>
  <c r="G8" i="13" s="1"/>
  <c r="E9" i="13" l="1"/>
  <c r="E8" i="13" s="1"/>
  <c r="L8" i="13" s="1"/>
  <c r="I26" i="17"/>
  <c r="K12" i="1"/>
  <c r="H26" i="17"/>
  <c r="G26" i="17"/>
  <c r="D8" i="17"/>
  <c r="D62" i="17" s="1"/>
  <c r="J9" i="13"/>
  <c r="I9" i="13"/>
  <c r="F62" i="17"/>
  <c r="E62" i="17" s="1"/>
  <c r="J62" i="17" s="1"/>
  <c r="J8" i="17"/>
  <c r="E8" i="17"/>
  <c r="I7" i="19" l="1"/>
  <c r="M12" i="1"/>
  <c r="K9" i="1"/>
  <c r="I119" i="13"/>
  <c r="I120" i="13"/>
  <c r="H62" i="17"/>
  <c r="G62" i="17"/>
  <c r="H8" i="17"/>
  <c r="G8" i="17"/>
  <c r="I117" i="13" l="1"/>
  <c r="J28" i="9"/>
  <c r="J25" i="9" s="1"/>
  <c r="D57" i="9"/>
  <c r="K26" i="9"/>
  <c r="I116" i="13" l="1"/>
  <c r="C11" i="9"/>
  <c r="I10" i="9"/>
  <c r="D36" i="9"/>
  <c r="J8" i="13" l="1"/>
  <c r="I8" i="13"/>
  <c r="D10" i="9"/>
  <c r="J10" i="9" s="1"/>
  <c r="E10" i="9"/>
  <c r="C10" i="9" l="1"/>
  <c r="E33" i="9"/>
  <c r="J10" i="1"/>
  <c r="J9" i="1" s="1"/>
  <c r="H22" i="9"/>
  <c r="J22" i="9" s="1"/>
  <c r="H17" i="9" l="1"/>
  <c r="I17" i="9"/>
  <c r="H16" i="9"/>
  <c r="E77" i="9"/>
  <c r="D77" i="9"/>
  <c r="E70" i="9"/>
  <c r="D70" i="9"/>
  <c r="D61" i="9" l="1"/>
  <c r="D60" i="9" l="1"/>
  <c r="D64" i="9" s="1"/>
  <c r="D54" i="9"/>
  <c r="E54" i="9"/>
  <c r="E47" i="9"/>
  <c r="D47" i="9"/>
  <c r="E40" i="9"/>
  <c r="D40" i="9"/>
  <c r="E26" i="9"/>
  <c r="D26" i="9"/>
  <c r="E84" i="9"/>
  <c r="H65" i="9" l="1"/>
  <c r="J118" i="13"/>
  <c r="J70" i="13"/>
  <c r="J52" i="13"/>
  <c r="J48" i="13"/>
  <c r="J36" i="13"/>
  <c r="J35" i="13"/>
  <c r="J34" i="13"/>
  <c r="J33" i="13"/>
  <c r="J32" i="13"/>
  <c r="J31" i="13"/>
  <c r="J30" i="13"/>
  <c r="J29" i="13"/>
  <c r="J28" i="13"/>
  <c r="J27" i="13"/>
  <c r="J26" i="13"/>
  <c r="J25" i="13"/>
  <c r="C18" i="1"/>
  <c r="H16" i="1"/>
  <c r="C17" i="1"/>
  <c r="H15" i="1"/>
  <c r="D16" i="1"/>
  <c r="D9" i="1" s="1"/>
  <c r="D8" i="1" s="1"/>
  <c r="H14" i="1"/>
  <c r="C15" i="1"/>
  <c r="H13" i="1"/>
  <c r="C14" i="1"/>
  <c r="K8" i="1"/>
  <c r="C13" i="1"/>
  <c r="H12" i="1"/>
  <c r="C11" i="1"/>
  <c r="H10" i="1"/>
  <c r="J8" i="1"/>
  <c r="I8" i="1"/>
  <c r="F8" i="1"/>
  <c r="H9" i="1" l="1"/>
  <c r="F19" i="1"/>
  <c r="C19" i="1" s="1"/>
  <c r="M9" i="1"/>
  <c r="C16" i="1"/>
  <c r="C10" i="1"/>
  <c r="M10" i="1"/>
  <c r="J117" i="13"/>
  <c r="J37" i="13"/>
  <c r="H8" i="1"/>
  <c r="E9" i="1"/>
  <c r="E8" i="1" s="1"/>
  <c r="C9" i="1" l="1"/>
  <c r="C8" i="1" s="1"/>
  <c r="J116" i="13"/>
  <c r="J10" i="13"/>
  <c r="J19" i="1"/>
  <c r="E97" i="9" l="1"/>
  <c r="E100" i="9" s="1"/>
  <c r="D97" i="9"/>
  <c r="D100" i="9" s="1"/>
  <c r="F101" i="9"/>
  <c r="F99" i="9"/>
  <c r="D90" i="9"/>
  <c r="D93" i="9" s="1"/>
  <c r="F94" i="9"/>
  <c r="F92" i="9"/>
  <c r="E90" i="9"/>
  <c r="E93" i="9" s="1"/>
  <c r="F91" i="9"/>
  <c r="F87" i="9"/>
  <c r="F85" i="9"/>
  <c r="E83" i="9"/>
  <c r="D83" i="9"/>
  <c r="D86" i="9" s="1"/>
  <c r="F77" i="9"/>
  <c r="D76" i="9"/>
  <c r="D79" i="9" s="1"/>
  <c r="F80" i="9"/>
  <c r="F78" i="9"/>
  <c r="E76" i="9"/>
  <c r="E79" i="9" s="1"/>
  <c r="E69" i="9"/>
  <c r="E72" i="9" s="1"/>
  <c r="F70" i="9"/>
  <c r="F73" i="9"/>
  <c r="F71" i="9"/>
  <c r="F65" i="9"/>
  <c r="F62" i="9"/>
  <c r="E60" i="9"/>
  <c r="E64" i="9" s="1"/>
  <c r="E53" i="9"/>
  <c r="D53" i="9"/>
  <c r="F55" i="9"/>
  <c r="F54" i="9"/>
  <c r="E50" i="9"/>
  <c r="D50" i="9"/>
  <c r="F47" i="9"/>
  <c r="F48" i="9"/>
  <c r="E39" i="9"/>
  <c r="E42" i="9" s="1"/>
  <c r="D39" i="9"/>
  <c r="D42" i="9" s="1"/>
  <c r="F43" i="9"/>
  <c r="F41" i="9"/>
  <c r="E32" i="9"/>
  <c r="F34" i="9"/>
  <c r="D25" i="9"/>
  <c r="D28" i="9" s="1"/>
  <c r="E25" i="9"/>
  <c r="E28" i="9" s="1"/>
  <c r="F27" i="9"/>
  <c r="F29" i="9"/>
  <c r="F26" i="9"/>
  <c r="F36" i="9" l="1"/>
  <c r="F57" i="9"/>
  <c r="F98" i="9"/>
  <c r="F97" i="9" s="1"/>
  <c r="F90" i="9"/>
  <c r="E15" i="9"/>
  <c r="F100" i="9"/>
  <c r="F93" i="9"/>
  <c r="E86" i="9"/>
  <c r="F86" i="9" s="1"/>
  <c r="F84" i="9"/>
  <c r="F83" i="9" s="1"/>
  <c r="F76" i="9"/>
  <c r="F79" i="9"/>
  <c r="E46" i="9"/>
  <c r="E49" i="9" s="1"/>
  <c r="F50" i="9"/>
  <c r="D56" i="9"/>
  <c r="F61" i="9"/>
  <c r="F60" i="9" s="1"/>
  <c r="F40" i="9"/>
  <c r="F39" i="9" s="1"/>
  <c r="F69" i="9"/>
  <c r="D69" i="9"/>
  <c r="F64" i="9"/>
  <c r="E56" i="9"/>
  <c r="F53" i="9"/>
  <c r="F25" i="9"/>
  <c r="F46" i="9"/>
  <c r="D46" i="9"/>
  <c r="D49" i="9" s="1"/>
  <c r="F42" i="9"/>
  <c r="E35" i="9"/>
  <c r="F33" i="9"/>
  <c r="F32" i="9" s="1"/>
  <c r="D32" i="9"/>
  <c r="D35" i="9" s="1"/>
  <c r="F28" i="9"/>
  <c r="H28" i="9" l="1"/>
  <c r="D72" i="9"/>
  <c r="F72" i="9" s="1"/>
  <c r="F56" i="9"/>
  <c r="F49" i="9"/>
  <c r="F35" i="9"/>
  <c r="F15" i="9" l="1"/>
  <c r="C13" i="10" l="1"/>
  <c r="E16" i="10" l="1"/>
  <c r="E13" i="10" s="1"/>
  <c r="F16" i="10"/>
  <c r="F13" i="10" s="1"/>
  <c r="D16" i="10"/>
  <c r="H18" i="10"/>
  <c r="H19" i="10"/>
  <c r="H20" i="10"/>
  <c r="F15" i="14" l="1"/>
  <c r="C17" i="14"/>
  <c r="F27" i="14" l="1"/>
  <c r="C27" i="14" s="1"/>
  <c r="C18" i="9"/>
  <c r="D15" i="9"/>
  <c r="D12" i="9" s="1"/>
  <c r="H12" i="9" l="1"/>
  <c r="D22" i="9"/>
  <c r="G10" i="10"/>
  <c r="H10" i="10"/>
  <c r="G11" i="10"/>
  <c r="H11" i="10"/>
  <c r="G12" i="10"/>
  <c r="H12" i="10"/>
  <c r="G14" i="10"/>
  <c r="H14" i="10"/>
  <c r="G15" i="10"/>
  <c r="G17" i="10"/>
  <c r="G16" i="10" s="1"/>
  <c r="H17" i="10"/>
  <c r="H16" i="10" s="1"/>
  <c r="G20" i="10"/>
  <c r="G21" i="10"/>
  <c r="H21" i="10"/>
  <c r="G22" i="10"/>
  <c r="H22" i="10"/>
  <c r="G23" i="10"/>
  <c r="H23" i="10"/>
  <c r="D9" i="10"/>
  <c r="G13" i="10" l="1"/>
  <c r="H15" i="10"/>
  <c r="H13" i="10" s="1"/>
  <c r="D13" i="10"/>
  <c r="D8" i="10" s="1"/>
  <c r="C9" i="10" l="1"/>
  <c r="C8" i="10" s="1"/>
  <c r="G9" i="10"/>
  <c r="G8" i="10" s="1"/>
  <c r="F9" i="10" l="1"/>
  <c r="F8" i="10" s="1"/>
  <c r="H9" i="10"/>
  <c r="H8" i="10" s="1"/>
  <c r="E12" i="11" l="1"/>
  <c r="C20" i="9"/>
  <c r="C17" i="9"/>
  <c r="C13" i="9"/>
  <c r="D8" i="11"/>
  <c r="E10" i="11"/>
  <c r="H10" i="11" s="1"/>
  <c r="F26" i="14"/>
  <c r="F24" i="14" s="1"/>
  <c r="C20" i="14"/>
  <c r="C21" i="14"/>
  <c r="C19" i="14"/>
  <c r="E11" i="11"/>
  <c r="E13" i="11"/>
  <c r="E14" i="11"/>
  <c r="H14" i="11" s="1"/>
  <c r="E9" i="10"/>
  <c r="E8" i="10" s="1"/>
  <c r="A3" i="13"/>
  <c r="C16" i="14"/>
  <c r="C13" i="14"/>
  <c r="C14" i="14"/>
  <c r="C18" i="14"/>
  <c r="C28" i="14"/>
  <c r="C25" i="14"/>
  <c r="C14" i="9"/>
  <c r="C22" i="14"/>
  <c r="F12" i="14"/>
  <c r="F11" i="14" s="1"/>
  <c r="F22" i="9"/>
  <c r="C21" i="9"/>
  <c r="C19" i="9"/>
  <c r="H11" i="11" l="1"/>
  <c r="H13" i="11"/>
  <c r="C15" i="14"/>
  <c r="C12" i="14"/>
  <c r="C11" i="14" s="1"/>
  <c r="C26" i="14"/>
  <c r="C24" i="14" s="1"/>
  <c r="E9" i="11"/>
  <c r="C16" i="9"/>
  <c r="C15" i="9" s="1"/>
  <c r="H12" i="11"/>
  <c r="E12" i="9"/>
  <c r="E22" i="9" s="1"/>
  <c r="A7" i="14"/>
  <c r="A5" i="9" s="1"/>
  <c r="A4" i="10" s="1"/>
  <c r="A3" i="11" s="1"/>
  <c r="H9" i="11" l="1"/>
  <c r="H8" i="11" s="1"/>
  <c r="E8" i="11"/>
  <c r="J103" i="9"/>
  <c r="E104" i="9"/>
  <c r="K25" i="9"/>
  <c r="C22" i="9"/>
  <c r="C1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1" authorId="0" shapeId="0" xr:uid="{00000000-0006-0000-0000-000001000000}">
      <text>
        <r>
          <rPr>
            <sz val="9"/>
            <color indexed="81"/>
            <rFont val="Tahoma"/>
            <family val="2"/>
            <charset val="163"/>
          </rPr>
          <t xml:space="preserve">Đất + khai thác KS </t>
        </r>
      </text>
    </comment>
    <comment ref="F11" authorId="0" shapeId="0" xr:uid="{00000000-0006-0000-0000-000002000000}">
      <text>
        <r>
          <rPr>
            <b/>
            <sz val="6"/>
            <color indexed="81"/>
            <rFont val="Tahoma"/>
            <family val="2"/>
          </rPr>
          <t>thuế TN KT khoáng sản, Lệ phí trước bạ nhà đất, Thuế sử dụng đất phi nông nghiệp, Phí bảo vệ môi trường đối với khai thác khoáng sản, Thu từ xử phạt vi phạm hành chính đối với hoạt động khai thác khoáng sản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PC</author>
  </authors>
  <commentList>
    <comment ref="C118" authorId="0" shapeId="0" xr:uid="{00000000-0006-0000-0100-000001000000}">
      <text>
        <r>
          <rPr>
            <b/>
            <sz val="9"/>
            <color indexed="81"/>
            <rFont val="Tahoma"/>
            <family val="2"/>
          </rPr>
          <t>QĐ 1579, 2431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TIẾN MẠNH</author>
  </authors>
  <commentList>
    <comment ref="E27" authorId="0" shapeId="0" xr:uid="{00000000-0006-0000-0600-000001000000}">
      <text/>
    </comment>
    <comment ref="F27" authorId="0" shapeId="0" xr:uid="{00000000-0006-0000-0600-000002000000}">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PC</author>
  </authors>
  <commentList>
    <comment ref="E10" authorId="0" shapeId="0" xr:uid="{00000000-0006-0000-0700-000001000000}">
      <text>
        <r>
          <rPr>
            <b/>
            <sz val="9"/>
            <color indexed="81"/>
            <rFont val="Tahoma"/>
            <family val="2"/>
          </rPr>
          <t>tăng thu năm 2024 huyện 3,737,960,947đ; CN 23-24 là 185,154,639+941,488,908đ.  Xã TT 2024 là 851,338,695, cn 522,650,068</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TIẾN MẠNH</author>
  </authors>
  <commentList>
    <comment ref="D15" authorId="0" shapeId="0" xr:uid="{00000000-0006-0000-0800-000001000000}">
      <text>
        <r>
          <rPr>
            <b/>
            <sz val="9"/>
            <color indexed="81"/>
            <rFont val="Tahoma"/>
            <family val="2"/>
            <charset val="163"/>
          </rPr>
          <t xml:space="preserve">229tr tồn tại NS huyện; 10,582tr thu NSNN (thuế); 
 </t>
        </r>
        <r>
          <rPr>
            <sz val="9"/>
            <color indexed="81"/>
            <rFont val="Tahoma"/>
            <family val="2"/>
            <charset val="163"/>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TIẾN MẠNH</author>
  </authors>
  <commentList>
    <comment ref="D8" authorId="0" shapeId="0" xr:uid="{00000000-0006-0000-0900-000001000000}">
      <text>
        <r>
          <rPr>
            <b/>
            <sz val="9"/>
            <color indexed="81"/>
            <rFont val="Tahoma"/>
            <family val="2"/>
            <charset val="163"/>
          </rPr>
          <t>TIẾN MẠNH:</t>
        </r>
        <r>
          <rPr>
            <sz val="9"/>
            <color indexed="81"/>
            <rFont val="Tahoma"/>
            <family val="2"/>
            <charset val="163"/>
          </rPr>
          <t xml:space="preserve">
Huyện: 31.163.154.766
Xã: 928.183.070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PC</author>
  </authors>
  <commentList>
    <comment ref="K9" authorId="0" shapeId="0" xr:uid="{00000000-0006-0000-0B00-000001000000}">
      <text/>
    </comment>
  </commentList>
</comments>
</file>

<file path=xl/sharedStrings.xml><?xml version="1.0" encoding="utf-8"?>
<sst xmlns="http://schemas.openxmlformats.org/spreadsheetml/2006/main" count="1236" uniqueCount="612">
  <si>
    <t>Phần thu</t>
  </si>
  <si>
    <t>Tổng số</t>
  </si>
  <si>
    <t>Thu NS cấp tỉnh</t>
  </si>
  <si>
    <t>Thu NS cấp huyện</t>
  </si>
  <si>
    <t>Thu NS xã</t>
  </si>
  <si>
    <t>Phần chi</t>
  </si>
  <si>
    <t>Chi NS cấp tỉnh</t>
  </si>
  <si>
    <t>Chi NS cấp huyện</t>
  </si>
  <si>
    <t>Chi NS xã</t>
  </si>
  <si>
    <t>A Tổng số thu cân đối ngân sách</t>
  </si>
  <si>
    <t>A Tổng số chi cân đối ngân sách</t>
  </si>
  <si>
    <t>Tr.đó: - Bổ sung cân đối ngân sách</t>
  </si>
  <si>
    <t>- Kết dư ngân sách năm quyết toán = (thu - chi)</t>
  </si>
  <si>
    <t>UBND HUYỆN QUỲNH NHAI</t>
  </si>
  <si>
    <t>STT</t>
  </si>
  <si>
    <t>Nội dung</t>
  </si>
  <si>
    <t>Dự toán năm</t>
  </si>
  <si>
    <t>Quyết toán năm</t>
  </si>
  <si>
    <t>So sánh QT/DT (%)</t>
  </si>
  <si>
    <t>HĐND quyết định</t>
  </si>
  <si>
    <t>Thu NS TW</t>
  </si>
  <si>
    <t>A</t>
  </si>
  <si>
    <t>B</t>
  </si>
  <si>
    <t>TỔNG SỐ (A+B+C+D+E)</t>
  </si>
  <si>
    <t>THU NGÂN SÁCH NHÀ NƯỚC</t>
  </si>
  <si>
    <t>Thu từ khu vực doanh nghiệp nhà nước do Trung ương quản lý</t>
  </si>
  <si>
    <t>- Thuế giá trị gia tăng</t>
  </si>
  <si>
    <t>Trong đó: Thu từ hoạt động thăm dò, khai thác, dầu khí</t>
  </si>
  <si>
    <t>- Thuế thu nhập doanh nghiệp</t>
  </si>
  <si>
    <t>- Thuế tiêu thụ đặc biệt</t>
  </si>
  <si>
    <t>Trong đó: Thu từ cơ sở kinh doanh nhập khẩu tiếp tục bán ra trong nước</t>
  </si>
  <si>
    <t>- Thuế tài nguyên</t>
  </si>
  <si>
    <t>Trong đó: Thuế tài nguyên dầu, khí</t>
  </si>
  <si>
    <t>Thu từ khu vực doanh nghiệp nhà nước do địa phương quản lý</t>
  </si>
  <si>
    <t>Thu từ khu vực doanh nghiệp có vốn đầu tư nước ngoài</t>
  </si>
  <si>
    <t>Trong đó: Thu từ hoạt động thăm dò và khai thác dầu, khí</t>
  </si>
  <si>
    <t xml:space="preserve">Trong đó: Thu từ hoạt động thăm dò và khai thác dầu, khí </t>
  </si>
  <si>
    <t xml:space="preserve">- Thu từ khí thiên nhiên </t>
  </si>
  <si>
    <t>Trong đó: - Thu từ cơ sở kinh doanh nhập khẩu tiếp tục bán ra trong nước</t>
  </si>
  <si>
    <t>- Tiền thuê mặt đất, mặt nước</t>
  </si>
  <si>
    <t>Thu từ khu vực kinh tế ngoài quốc doanh</t>
  </si>
  <si>
    <t xml:space="preserve">Trong đó: Thu từ cơ sở kinh doanh nhập khẩu tiếp tục bán ra trong nước </t>
  </si>
  <si>
    <t>Lệ phí trước bạ</t>
  </si>
  <si>
    <t>Thuế sử dụng đất nông nghiệp</t>
  </si>
  <si>
    <t>Thuế sử dụng đất phi nông nghiệp</t>
  </si>
  <si>
    <t>Thuế thu nhập cá nhân</t>
  </si>
  <si>
    <t>Thuế bảo vệ môi trường</t>
  </si>
  <si>
    <t>Trong đó: - Thu từ hàng hóa nhập khẩu</t>
  </si>
  <si>
    <t>- Thu từ hàng hóa sản xuất trong nước</t>
  </si>
  <si>
    <t>Phí, lệ phí</t>
  </si>
  <si>
    <t>Tiền sử dụng đất</t>
  </si>
  <si>
    <t>Trong đó: - Thu do cơ quan, tổ chức, đơn vị thuộc Trung ương quản lý</t>
  </si>
  <si>
    <t>- Thu do cơ quan, tổ chức, đơn vị thuộc địa phương quản lý</t>
  </si>
  <si>
    <t>Thu tiền thuê đất, mặt nước</t>
  </si>
  <si>
    <t>Thu tiền sử dụng khu vực biển</t>
  </si>
  <si>
    <t>Trong đó: - Thuộc thẩm quyền giao của trung ương</t>
  </si>
  <si>
    <t>- Thuộc thẩm quyền giao của địa phương</t>
  </si>
  <si>
    <t>Thu từ bán tài sản nhà nước</t>
  </si>
  <si>
    <t>Trong đó: - Do trung ương</t>
  </si>
  <si>
    <t xml:space="preserve">                - Do địa phương</t>
  </si>
  <si>
    <t>Thu từ tài sản được xác lập quyền sở hữu của nhà nước</t>
  </si>
  <si>
    <t>Trong đó: - Do trung ương xử lý</t>
  </si>
  <si>
    <t xml:space="preserve">                - Do địa phương xử lý</t>
  </si>
  <si>
    <t>Thu tiền cho thuê và bán nhà ở thuộc sở hữu nhà nước</t>
  </si>
  <si>
    <t>Thu khác ngân sách</t>
  </si>
  <si>
    <t>Trong đó: - Thu khác ngân sách trung ương</t>
  </si>
  <si>
    <t>Thu tiền cấp quyền khai thác khoáng sản</t>
  </si>
  <si>
    <t>Trong đó: - Giấy phép do Trung ương cấp</t>
  </si>
  <si>
    <t>- Giấy phép do Ủy ban nhân dân cấp tỉnh cấp</t>
  </si>
  <si>
    <t>Thu từ quỹ đất công ích và thu hoa lợi công sản khác</t>
  </si>
  <si>
    <t>Thu cổ tức và lợi nhuận sau thuế</t>
  </si>
  <si>
    <t>II</t>
  </si>
  <si>
    <t>Thu về dầu thô</t>
  </si>
  <si>
    <t xml:space="preserve">Thu về dầu thô theo hiệp định, hợp đồng </t>
  </si>
  <si>
    <t>1.1</t>
  </si>
  <si>
    <t>Thuế tài nguyên</t>
  </si>
  <si>
    <t>1.2</t>
  </si>
  <si>
    <t>Thuế thu nhập doanh nghiệp</t>
  </si>
  <si>
    <t>1.3</t>
  </si>
  <si>
    <t>Lợi nhuận sau thuế được chia của Chính phủ Việt Nam</t>
  </si>
  <si>
    <t>1.4</t>
  </si>
  <si>
    <t>Dầu lãi được chia của Chính phủ Việt Nam</t>
  </si>
  <si>
    <t>1.5</t>
  </si>
  <si>
    <t xml:space="preserve">Thuế đặc biệt </t>
  </si>
  <si>
    <t>1.6</t>
  </si>
  <si>
    <t>Thu khác</t>
  </si>
  <si>
    <t xml:space="preserve">Thu về Condensate theo hiệp định, hợp đồng. </t>
  </si>
  <si>
    <t>Phụ thu về dầu, khí</t>
  </si>
  <si>
    <t>Thu về khí thiên nhiên (không bao gồm doanh nghiệp có vốn đầu tư nước ngoài)</t>
  </si>
  <si>
    <t>III</t>
  </si>
  <si>
    <t>Thu Hải quan</t>
  </si>
  <si>
    <t>Thuế xuất khẩu</t>
  </si>
  <si>
    <t>Thuế nhập khẩu</t>
  </si>
  <si>
    <t>Thuế tiêu thụ đặc biệt hàng nhập khẩu</t>
  </si>
  <si>
    <t>Thuế giá trị gia tăng hàng nhập khẩu</t>
  </si>
  <si>
    <t>Thuế bổ sung đối với hàng hóa nhập khẩu vào Việt Nam</t>
  </si>
  <si>
    <t>Thu chênh lệch giá hàng xuất nhập khẩu</t>
  </si>
  <si>
    <t>Thuế bảo vệ môi trường do cơ quan hải quan thực hiện</t>
  </si>
  <si>
    <t>Phí, lệ phí hải quan</t>
  </si>
  <si>
    <t>IV</t>
  </si>
  <si>
    <t>Thu Viện trợ</t>
  </si>
  <si>
    <t>V</t>
  </si>
  <si>
    <t>Các khoản huy động, đóng góp</t>
  </si>
  <si>
    <t>Các khoản huy động đóng góp xây dựng cơ sở hạ tầng</t>
  </si>
  <si>
    <t>Các khoản huy động đóng góp khác</t>
  </si>
  <si>
    <t>VI</t>
  </si>
  <si>
    <t>Thu hồi vốn của Nhà nước và thu từ quỹ dự trữ tài chính</t>
  </si>
  <si>
    <t>Thu từ bán cổ phần, vốn góp của Nhà nước nộp ngân sách</t>
  </si>
  <si>
    <t>Thu từ các khoản cho vay của ngân sách</t>
  </si>
  <si>
    <t>2.1</t>
  </si>
  <si>
    <t>Thu nợ gốc cho vay</t>
  </si>
  <si>
    <t>2.2</t>
  </si>
  <si>
    <t>Thu lãi cho vay</t>
  </si>
  <si>
    <t>Thu từ quỹ dự trữ tài chính</t>
  </si>
  <si>
    <t>VAY CỦA NGÂN SÁCH ĐỊA PHƯƠNG</t>
  </si>
  <si>
    <t>I</t>
  </si>
  <si>
    <t>Vay bù đắp bội chi NSĐP</t>
  </si>
  <si>
    <t>Vay trong nước</t>
  </si>
  <si>
    <t>Vay lại từ nguồn Chính phủ vay ngoài nước</t>
  </si>
  <si>
    <t>Vay để trả nợ gốc vay</t>
  </si>
  <si>
    <t>C</t>
  </si>
  <si>
    <t>THU CHUYỂN GIAO NGÂN SÁCH</t>
  </si>
  <si>
    <t>Thu bổ sung từ ngân sách cấp trên</t>
  </si>
  <si>
    <t>1.</t>
  </si>
  <si>
    <t xml:space="preserve">Bổ sung cân đối </t>
  </si>
  <si>
    <t>2.</t>
  </si>
  <si>
    <t>Bổ sung có mục tiêu</t>
  </si>
  <si>
    <t xml:space="preserve">Bổ sung có mục tiêu bằng nguồn vốn trong nước </t>
  </si>
  <si>
    <t>Bổ sung có mục tiêu bằng nguồn vốn ngoài nước</t>
  </si>
  <si>
    <t>Thu từ ngân sách cấp dưới nộp lên</t>
  </si>
  <si>
    <t>D</t>
  </si>
  <si>
    <t>THU CHUYỂN NGUỒN</t>
  </si>
  <si>
    <t>E</t>
  </si>
  <si>
    <t>THU KẾT DƯ NGÂN SÁCH</t>
  </si>
  <si>
    <t>Nội dung chi</t>
  </si>
  <si>
    <t>So sánh QT/DT(%)</t>
  </si>
  <si>
    <t>CHI CÂN ĐỐI NGÂN SÁCH</t>
  </si>
  <si>
    <t>Chi đầu tư phát triển</t>
  </si>
  <si>
    <t>Chi đầu tư phát triển cho chương trình, dự án theo lĩnh vực</t>
  </si>
  <si>
    <t>Chi quốc phòng</t>
  </si>
  <si>
    <t>Chi an ninh và trật tự an toàn xã hội</t>
  </si>
  <si>
    <t>Chi Giáo dục - đào tạo và dạy nghề</t>
  </si>
  <si>
    <t>Chi Khoa học và công nghệ</t>
  </si>
  <si>
    <t>Chi Y tế, dân số và gia đình</t>
  </si>
  <si>
    <t>Chi Văn hóa thông tin</t>
  </si>
  <si>
    <t>1.7</t>
  </si>
  <si>
    <t>Chi Phát thanh, truyền hình, thông tấn</t>
  </si>
  <si>
    <t>1.8</t>
  </si>
  <si>
    <t>Chi Thể dục thể thao</t>
  </si>
  <si>
    <t>1.9</t>
  </si>
  <si>
    <t>Chi Bảo vệ môi trường</t>
  </si>
  <si>
    <t>1.10</t>
  </si>
  <si>
    <t>Chi các hoạt động kinh tế</t>
  </si>
  <si>
    <t>Chi hoạt động của các cơ quan quản lý nhà nước, đảng, đoàn thể</t>
  </si>
  <si>
    <t>1.12</t>
  </si>
  <si>
    <t>Chi Bảo đảm xã hội</t>
  </si>
  <si>
    <t>1.13</t>
  </si>
  <si>
    <t>Chi ngành, lĩnh vực khác</t>
  </si>
  <si>
    <t>Chi đầu tư phát triển khác</t>
  </si>
  <si>
    <t>Chi thường xuyên</t>
  </si>
  <si>
    <t>2.4</t>
  </si>
  <si>
    <t>2.5</t>
  </si>
  <si>
    <t>2.6</t>
  </si>
  <si>
    <t>2.9</t>
  </si>
  <si>
    <t>2.10</t>
  </si>
  <si>
    <t>2.11</t>
  </si>
  <si>
    <t>2.12</t>
  </si>
  <si>
    <t>Chi khác</t>
  </si>
  <si>
    <t>Chi chuyển nguồn</t>
  </si>
  <si>
    <t>CHI BỔ SUNG CHO NGÂN SÁCH CẤP DƯỚI</t>
  </si>
  <si>
    <t>Bổ sung cân đối</t>
  </si>
  <si>
    <t>CHI NỘP NGÂN SÁCH CẤP TRÊN</t>
  </si>
  <si>
    <t>TỔNG SỐ (A+B+C)</t>
  </si>
  <si>
    <t>Đơn vị: đồng</t>
  </si>
  <si>
    <t>NS cấp tỉnh</t>
  </si>
  <si>
    <t>NS cấp huyện</t>
  </si>
  <si>
    <t>NS xã</t>
  </si>
  <si>
    <t>Trong đó</t>
  </si>
  <si>
    <t>Ghi chú</t>
  </si>
  <si>
    <t>THUYẾT MINH</t>
  </si>
  <si>
    <t>Tổng nguồn</t>
  </si>
  <si>
    <t>Nguồn trong nước</t>
  </si>
  <si>
    <t>Trung ương bổ sung</t>
  </si>
  <si>
    <t>Các tổ chức, cá nhân trong nước ủng hộ</t>
  </si>
  <si>
    <t>Nguồn của NSĐP</t>
  </si>
  <si>
    <t>Tr.đó: - Từ nguồn dự phòng</t>
  </si>
  <si>
    <t>- Từ quỹ dự trữ tài chính</t>
  </si>
  <si>
    <t>- Từ nguồn tăng thu</t>
  </si>
  <si>
    <t>- Từ nguồn thưởng vượt thu</t>
  </si>
  <si>
    <t>Nguồn viện trợ nước ngoài</t>
  </si>
  <si>
    <t>Tổng kinh phí sử dụng đã được quyết toán chi NSĐP</t>
  </si>
  <si>
    <t>Chi đầu tư XDCB</t>
  </si>
  <si>
    <t>Chi sự nghiệp kinh tế</t>
  </si>
  <si>
    <t>Chi đảm bảo xã hội</t>
  </si>
  <si>
    <t>THUYẾT MINH TÌNH HÌNH SỬ DỤNG</t>
  </si>
  <si>
    <t>Dự phòng</t>
  </si>
  <si>
    <t>Tăng thu</t>
  </si>
  <si>
    <t>Thưởng vượt dự toán thu</t>
  </si>
  <si>
    <t>Chi đầu tư và hỗ trợ vốn doanh nghiệp (nếu có theo phân cấp)</t>
  </si>
  <si>
    <t>Số kiến nghị của</t>
  </si>
  <si>
    <t>Số tồn tại chưa xử lý</t>
  </si>
  <si>
    <t>Thanh tra</t>
  </si>
  <si>
    <t>Kiểm toán</t>
  </si>
  <si>
    <t xml:space="preserve">Kiến nghị của kiểm toán, thanh tra các năm trước còn tồn tại chưa xử lý </t>
  </si>
  <si>
    <t>Số tuyệt đối</t>
  </si>
  <si>
    <t>Số tương đối</t>
  </si>
  <si>
    <t>1. Các khoản thu NSĐP hưởng 100%</t>
  </si>
  <si>
    <t>2. Các khoản thu phân chia theo tỷ lệ %</t>
  </si>
  <si>
    <t>3. Thu từ quỹ dự trữ tài chính</t>
  </si>
  <si>
    <t>4. Thu kết dư năm trước</t>
  </si>
  <si>
    <t>5. Thu chuyển nguồn từ năm trước sang</t>
  </si>
  <si>
    <t>7. Thu bổ sung từ ngân sách cấp trên</t>
  </si>
  <si>
    <t xml:space="preserve"> - Bổ sung có mục tiêu</t>
  </si>
  <si>
    <t>1. Chi đầu tư phát triển</t>
  </si>
  <si>
    <t>2. Chi trả nợ lãi, phí tiền vay</t>
  </si>
  <si>
    <t>3. Chi thường xuyên</t>
  </si>
  <si>
    <t>Tổng cộng</t>
  </si>
  <si>
    <t>Kinh phí khác theo quy định của pháp luật</t>
  </si>
  <si>
    <t>Đơn vị tính:  đồng</t>
  </si>
  <si>
    <t>PHÒNG TÀI CHÍNH - KẾ HOẠCH</t>
  </si>
  <si>
    <t>TRƯỞNG PHÒNG</t>
  </si>
  <si>
    <t>Kiến nghị thu hồi các khoản cho vay, tạm ứng sai quy định</t>
  </si>
  <si>
    <t>Chi quản lý hành chính</t>
  </si>
  <si>
    <t>Chi an ninh quốc phòng</t>
  </si>
  <si>
    <t>CHÊNH LỆCH (A-B)</t>
  </si>
  <si>
    <t>Hoàng Thị Thúy Điệp</t>
  </si>
  <si>
    <t>Chi sự nghiệp truyền thanh truyền hình</t>
  </si>
  <si>
    <t>Đơn vị: Đồng</t>
  </si>
  <si>
    <t>Thu nội địa thường xuyên</t>
  </si>
  <si>
    <t>- Thuế môn bài</t>
  </si>
  <si>
    <t>- Thu khác</t>
  </si>
  <si>
    <t>Thu tại xã</t>
  </si>
  <si>
    <t>Dự phòng ngân sách</t>
  </si>
  <si>
    <t>7=3/2</t>
  </si>
  <si>
    <t>Mẫu biểu số 67 - TT342</t>
  </si>
  <si>
    <t>6. Thu từ ngân sách cấp dưới nộp lên</t>
  </si>
  <si>
    <t>Đỗ Xuân Thành</t>
  </si>
  <si>
    <t>B. Vay của ngân sách cấp tỉnh (chi tiết theo mục đích vay và nguồn vốn vay)</t>
  </si>
  <si>
    <t>B. Chi trả nợ gốc (chi tiết theo mục đích vay và nguồn vốn vay)</t>
  </si>
  <si>
    <t>(3)=(4)+(5)+(6)+(7)</t>
  </si>
  <si>
    <t>(8)=(3):(1)</t>
  </si>
  <si>
    <t>(9)=(3):(2)</t>
  </si>
  <si>
    <t>1.11</t>
  </si>
  <si>
    <t>Chi đầu tư và hỗ trợ vốn cho các doanh nghiệp hoạt động công</t>
  </si>
  <si>
    <t>2.13</t>
  </si>
  <si>
    <t>Tr. đó: - Bằng nguồn vốn trong nước</t>
  </si>
  <si>
    <t>0911</t>
  </si>
  <si>
    <t>0913</t>
  </si>
  <si>
    <t>0914</t>
  </si>
  <si>
    <t>0915</t>
  </si>
  <si>
    <t>0917</t>
  </si>
  <si>
    <t>0918</t>
  </si>
  <si>
    <t>Đơn vị:  Đồng</t>
  </si>
  <si>
    <t>Mã hạch toán</t>
  </si>
  <si>
    <t>Ngân sách xã</t>
  </si>
  <si>
    <t>Tổng</t>
  </si>
  <si>
    <t>6=3-2</t>
  </si>
  <si>
    <t>NGƯỜI LẬP BIỂU</t>
  </si>
  <si>
    <t>Quỳnh Nhai, ngày       tháng 4 năm 2020</t>
  </si>
  <si>
    <t>2.7</t>
  </si>
  <si>
    <t>2.8</t>
  </si>
  <si>
    <t>Các nhiệm vụ chi khác</t>
  </si>
  <si>
    <t xml:space="preserve">Các nguồn khác </t>
  </si>
  <si>
    <t>Chi sự nghiệp y tế</t>
  </si>
  <si>
    <t>Thu hồi nộp NSNN các khoản chi sai quy định</t>
  </si>
  <si>
    <t>Kiến nghị của kiểm toán, thanh tra năm nay</t>
  </si>
  <si>
    <t>Các khoản thu phải nộp ngân sách</t>
  </si>
  <si>
    <t>Các khoản ghi thu, ghi chi vào ngân sách</t>
  </si>
  <si>
    <t>Số chi sai chế độ phải xuất toán</t>
  </si>
  <si>
    <t>Chuyển quyết toán ngân sách năm sau</t>
  </si>
  <si>
    <t>Các vấn đề khác liên quan cần giải trình</t>
  </si>
  <si>
    <t>Bao gồm: - Phí, lệ phí do cơ quan nhà nước trung ương thu</t>
  </si>
  <si>
    <t>- Phí, lệ phí do cơ quan nhà nước địa phương thu</t>
  </si>
  <si>
    <t>Trong đó: phí bảo vệ môi trường đối với khai thác khoáng sản</t>
  </si>
  <si>
    <t>12</t>
  </si>
  <si>
    <t>2.3</t>
  </si>
  <si>
    <t>Chương trình mục tiêu quốc gia giảm nghèo bền vững</t>
  </si>
  <si>
    <t>Vốn đầu tư</t>
  </si>
  <si>
    <t>Vốn sự nghiệp</t>
  </si>
  <si>
    <t>Chương trình MTQG PTKT-XH vùng đồng bào dân tộc thiểu số</t>
  </si>
  <si>
    <t>Chương trình MTQG xây dựng nông thôn mới</t>
  </si>
  <si>
    <t>Giảm dự toán, giảm thanh toán năm sau (Kinh phí cải cách tiền lương)</t>
  </si>
  <si>
    <t>Chi sự nghiệp văn hóa - TT, TDTT, TT-TH</t>
  </si>
  <si>
    <t>- Từ nguồn sự nghiệp kinh tế</t>
  </si>
  <si>
    <t xml:space="preserve">Giảm dự toán, giảm thanh toán năm sau </t>
  </si>
  <si>
    <t>-</t>
  </si>
  <si>
    <t>Giảm thanh toán, dự toan Kinh phí cải cách tiền lương</t>
  </si>
  <si>
    <t xml:space="preserve">Giảm thanh toán dự án san nền và xây dựng cơ sở hạ tầng lô X4, 5, 7 trung tâm huyện </t>
  </si>
  <si>
    <t xml:space="preserve">Giảm dự toán dự án san nền và xây dựng cơ sở hạ tầng lô X4, 5, 7 trung tâm huyện </t>
  </si>
  <si>
    <t>Mẫu biểu số 69-TT342</t>
  </si>
  <si>
    <t>Chi Văn hóa thông tin, phát thanh, truyền hình,</t>
  </si>
  <si>
    <t>Ngân sách tỉnh hỗ trợ đối ứng</t>
  </si>
  <si>
    <t xml:space="preserve">Chi các chương trình mục tiêu </t>
  </si>
  <si>
    <t>CTMT phát triển lâm nghiệp bền vững</t>
  </si>
  <si>
    <t xml:space="preserve">Chi từ nguồn thu sử dụng đất </t>
  </si>
  <si>
    <t>CCTL</t>
  </si>
  <si>
    <t>CTX</t>
  </si>
  <si>
    <t>THU</t>
  </si>
  <si>
    <t>Chi</t>
  </si>
  <si>
    <t>Tồn</t>
  </si>
  <si>
    <t>Chiềng ơn</t>
  </si>
  <si>
    <t>Mường chiên</t>
  </si>
  <si>
    <t>Chiềng Khoang</t>
  </si>
  <si>
    <t>Chiềng Bằng</t>
  </si>
  <si>
    <t>Cà Nàng</t>
  </si>
  <si>
    <t>Mường Giàng</t>
  </si>
  <si>
    <t>Chiềng Khay</t>
  </si>
  <si>
    <t>Mường Sại</t>
  </si>
  <si>
    <t>Nặm Ét</t>
  </si>
  <si>
    <t>Mường Giôn</t>
  </si>
  <si>
    <t>PMPK</t>
  </si>
  <si>
    <t>Bao gồm</t>
  </si>
  <si>
    <t>Tỉnh giao</t>
  </si>
  <si>
    <t>HĐND 
quyết định</t>
  </si>
  <si>
    <t>Tổng chi
 NSĐP</t>
  </si>
  <si>
    <t>Chi NS
 cấp xã</t>
  </si>
  <si>
    <t>2.14</t>
  </si>
  <si>
    <t>Chi tạo nguồn tiền lương từ nguồn tăng thu</t>
  </si>
  <si>
    <t>Số xử lý năm 2024</t>
  </si>
  <si>
    <t>CN 23-24</t>
  </si>
  <si>
    <t>TT 2024</t>
  </si>
  <si>
    <t xml:space="preserve">Theo dõi tăng thu </t>
  </si>
  <si>
    <t>xong</t>
  </si>
  <si>
    <t>Xong</t>
  </si>
  <si>
    <t>Nộp NSH do SX</t>
  </si>
  <si>
    <t>Huyện</t>
  </si>
  <si>
    <t>xã</t>
  </si>
  <si>
    <t>Huyện chi TT</t>
  </si>
  <si>
    <t>Tăng thu ngân sách xã Mường Giàng năm 2024 (Đơn vị sắp xếp)</t>
  </si>
  <si>
    <t>Số tồn Tăng thu</t>
  </si>
  <si>
    <t>Nguyễn Ngọc Tú</t>
  </si>
  <si>
    <t>UBND XÃ QUỲNH NHAI</t>
  </si>
  <si>
    <t>Dự toán năm 2025</t>
  </si>
  <si>
    <t>Quyết toán năm 2025</t>
  </si>
  <si>
    <t>QĐ 1579</t>
  </si>
  <si>
    <t>QĐ 1831</t>
  </si>
  <si>
    <t>QĐ 1575</t>
  </si>
  <si>
    <t>QĐ 1711</t>
  </si>
  <si>
    <t>QĐ 2132</t>
  </si>
  <si>
    <t>QĐ 2190</t>
  </si>
  <si>
    <t>QĐ 2203</t>
  </si>
  <si>
    <t>QĐ 2272</t>
  </si>
  <si>
    <t>QĐ 2498</t>
  </si>
  <si>
    <t>QĐ 2549</t>
  </si>
  <si>
    <t>QĐ 2431</t>
  </si>
  <si>
    <t>QĐ 2601</t>
  </si>
  <si>
    <t>QĐ 2784</t>
  </si>
  <si>
    <t>QĐ 2855</t>
  </si>
  <si>
    <t>QĐ 3213</t>
  </si>
  <si>
    <t>Dự kiến chi từ nguồn tăng thu ngân sách 2025</t>
  </si>
  <si>
    <t>QĐ 3342</t>
  </si>
  <si>
    <t>SNVH</t>
  </si>
  <si>
    <t>QĐ 3465</t>
  </si>
  <si>
    <t>QĐ 3412</t>
  </si>
  <si>
    <t>QĐ 3376</t>
  </si>
  <si>
    <t>QĐ 3374</t>
  </si>
  <si>
    <t>QĐ 3371</t>
  </si>
  <si>
    <t>QĐ 3333</t>
  </si>
  <si>
    <t>QĐ 3417</t>
  </si>
  <si>
    <t>QĐ 407-xã</t>
  </si>
  <si>
    <t>QĐ 724-xã</t>
  </si>
  <si>
    <t>PHÒNG KINH TẾ</t>
  </si>
  <si>
    <t>Nguyễn Tiến Thành</t>
  </si>
  <si>
    <t>CHỦ TỊCH</t>
  </si>
  <si>
    <t>Ngày        tháng 3  năm 2026</t>
  </si>
  <si>
    <t>Ngày      tháng 3  năm 2026</t>
  </si>
  <si>
    <t>Quỳnh Nhai, ngày     tháng 3  năm 2026</t>
  </si>
  <si>
    <t>TM.ỦY BAN NHÂN DÂN XÃ</t>
  </si>
  <si>
    <t>- Từ nguồn khác</t>
  </si>
  <si>
    <t>BÁO CÁO TÌNH HÌNH KIỂM TOÁN, THANH TRA NĂM 2025</t>
  </si>
  <si>
    <t>NGUỒN DỰ PHÒNG, TĂNG THU  NĂM 2025</t>
  </si>
  <si>
    <t>BÁO CÁO CHI CHUYỂN NGUỒN NĂM 2025 SANG NĂM 2026</t>
  </si>
  <si>
    <t>Năm 2024</t>
  </si>
  <si>
    <t>Năm 2025</t>
  </si>
  <si>
    <t>Ngân sách tỉnh</t>
  </si>
  <si>
    <t xml:space="preserve">Chi đầu tư phát triển thực hiện chuyển nguồn sang năm sau đối với kế hoạch vốn đầu tư công được kéo dài thời gian thực hiện và giải ngân theo quy định của Luật Đầu tư công </t>
  </si>
  <si>
    <t>Chi mua sắm hàng hóa, dịch vụ, sửa chữa, cải tạo, nâng cấp, mở rộng, xây dựng mới hạng mục công trình trong các dự án đã đầu tư xây dựng, đặt hàng, giao nhiệm vụ đã đầy đủ hồ sơ, đã ký hợp đồng hoặc đã hoàn thành đấu thầu theo quy định của pháp luật về đấu thầu trước ngày 31 tháng 12 năm thực hiện dự toán</t>
  </si>
  <si>
    <t>Nguồn thực hiện chính sách tiền lương, phụ cấp, trợ cấp và các khoản tính theo tiền lương; nguồn thực hiện các chính sách an sinh xã hội</t>
  </si>
  <si>
    <t>Kinh phí được giao tự chủ của các đơn vị sự nghiệp công lập và các cơ quan nhà nước</t>
  </si>
  <si>
    <t>Các khoản dự toán được Thủ tướng Chính phủ, Ủy ban nhân dân các cấp bổ sung sau ngày 30 tháng 9 năm thực hiện dự toán, trừ trường hợp đã hết nhiệm vụ chi, không bao gồm các khoản bổ sung do các đơn vị dự toán cấp trên điều chỉnh dự toán đã giao cho các đơn vị dự toán trực thuộc</t>
  </si>
  <si>
    <t xml:space="preserve">Các khoản tăng thu so với dự toán, dự toán chi còn lại của cấp ngân sách đã được cấp có thẩm quyền quyết định phê duyệt phương án sử dụng vào năm sau </t>
  </si>
  <si>
    <t>Các chương trình mục tiêu quốc gia đang trong thời gian thực hiện theo nghị quyết của Quốc hội nhưng không quá ngày 31 tháng 12 năm sau</t>
  </si>
  <si>
    <t>0912</t>
  </si>
  <si>
    <t>0929</t>
  </si>
  <si>
    <t>Năm 2025 so với năm 2024</t>
  </si>
  <si>
    <t xml:space="preserve">KHO BẠC NHÀ NƯỚC KHU VỰC X- PHÒNG GIAO DỊCH SỐ 12 </t>
  </si>
  <si>
    <t xml:space="preserve">KHO BẠC NHÀ NƯỚC KHU VỰC X
PHÒNG GIAO DỊCH SỐ 12 </t>
  </si>
  <si>
    <t>4. Chi bổ sung cho ngân sách cấp dưới</t>
  </si>
  <si>
    <t>5. Chi chuyển nguồn sang năm sau</t>
  </si>
  <si>
    <t>6. Chi nộp ngân sách cấp trên</t>
  </si>
  <si>
    <t>7. Các nhiệm vụ chi khác</t>
  </si>
  <si>
    <t>Tổng số thu</t>
  </si>
  <si>
    <t>Tổng thu chi</t>
  </si>
  <si>
    <t>Cấp</t>
  </si>
  <si>
    <t>Chương</t>
  </si>
  <si>
    <t>Loại</t>
  </si>
  <si>
    <t>Khoản</t>
  </si>
  <si>
    <t>Mục</t>
  </si>
  <si>
    <t>Tiểu mục</t>
  </si>
  <si>
    <t>QUYẾT TOÁN CHI, TRẢ NỢ NSĐP THEO MỤC LỤC NSNN NĂM 2025</t>
  </si>
  <si>
    <t>010</t>
  </si>
  <si>
    <t>011</t>
  </si>
  <si>
    <t>040</t>
  </si>
  <si>
    <t>041</t>
  </si>
  <si>
    <t>NSNN</t>
  </si>
  <si>
    <t>NSTW</t>
  </si>
  <si>
    <t>TỔNG SỐ</t>
  </si>
  <si>
    <t>009</t>
  </si>
  <si>
    <t>0</t>
  </si>
  <si>
    <t>422</t>
  </si>
  <si>
    <t>0900</t>
  </si>
  <si>
    <t>070</t>
  </si>
  <si>
    <t>071</t>
  </si>
  <si>
    <t>072</t>
  </si>
  <si>
    <t>073</t>
  </si>
  <si>
    <t>083</t>
  </si>
  <si>
    <t>092</t>
  </si>
  <si>
    <t>093</t>
  </si>
  <si>
    <t>098</t>
  </si>
  <si>
    <t>0950</t>
  </si>
  <si>
    <t>0962</t>
  </si>
  <si>
    <t>0963</t>
  </si>
  <si>
    <t>0964</t>
  </si>
  <si>
    <t>0965</t>
  </si>
  <si>
    <t>0967</t>
  </si>
  <si>
    <t>0968</t>
  </si>
  <si>
    <t>Số quyết toán</t>
  </si>
  <si>
    <t>Đơn vị tính: Đồng</t>
  </si>
  <si>
    <t>QUYẾT TOÁN THU NSNN, VAY NSĐP THEO MỤC LỤC NSNN NĂM 2025</t>
  </si>
  <si>
    <t>thế sử dụng đất phi nn</t>
  </si>
  <si>
    <t>Biểu số 62</t>
  </si>
  <si>
    <t>Biểu số 63</t>
  </si>
  <si>
    <t>Tên chương trình mục tiêu</t>
  </si>
  <si>
    <t>Số QT</t>
  </si>
  <si>
    <t>Ngày     tháng       năm</t>
  </si>
  <si>
    <t>..., ngày     tháng       năm….</t>
  </si>
  <si>
    <t>GIÁM ĐỐC KBNN…….</t>
  </si>
  <si>
    <t>CÁN BỘ TRÌNH</t>
  </si>
  <si>
    <t>CƠ QUAN TÀI CHÍNH/PHÒNG KINH TẾ</t>
  </si>
  <si>
    <t>(Ký tên, đóng dấu)</t>
  </si>
  <si>
    <t>(Ký tên, ghi rõ họ tên)</t>
  </si>
  <si>
    <t xml:space="preserve">                               QUYẾT TOÁN CHI CHƯƠNG TRÌNH MỤC TIÊU THEO MỤC LỤC NSNN NĂM 2025</t>
  </si>
  <si>
    <t xml:space="preserve"> (Kèm theo Báo cáo số            /BC-UBND ngày         tháng 6 năm 2024 của UBND huyện Quỳnh Nhai)</t>
  </si>
  <si>
    <t>(Kèm theo Nghị quyết số 102/NQ-HĐND ngày  21 tháng 6 năm 2022 của HĐND huyện Quỳnh Nhai)</t>
  </si>
  <si>
    <t>48,50,51,52,53,54,58,59,61</t>
  </si>
  <si>
    <t>Dự toán</t>
  </si>
  <si>
    <t>Quyết toán</t>
  </si>
  <si>
    <t>So sánh</t>
  </si>
  <si>
    <t>(Kèm theo Tờ trình số 160/TTr-UBND ngày 09 tháng  6 năm 2021 của Ủy ban nhân dân huyện Quỳnh Nhai)</t>
  </si>
  <si>
    <t>Tuyệt đối</t>
  </si>
  <si>
    <t>Tương đối (%)</t>
  </si>
  <si>
    <t>3=2-1</t>
  </si>
  <si>
    <t>4=2/1</t>
  </si>
  <si>
    <t>TỔNG NGUỒN THU NSĐP</t>
  </si>
  <si>
    <t>Thu NSĐP được hưởng theo phân cấp</t>
  </si>
  <si>
    <t>Thu NSĐP hưởng 100%</t>
  </si>
  <si>
    <t>điều tiết ngân sách tỉnh và TW</t>
  </si>
  <si>
    <t>Thu NSĐP hưởng từ các khoản thu phân chia</t>
  </si>
  <si>
    <t xml:space="preserve">Thu bổ sung từ ngân sách cấp trên </t>
  </si>
  <si>
    <t>Thu bổ sung cân đối ngân sách</t>
  </si>
  <si>
    <t>Thu bổ sung có mục tiêu</t>
  </si>
  <si>
    <t>Thu kết dư</t>
  </si>
  <si>
    <t>Thu chuyển nguồn từ năm trước chuyển sang</t>
  </si>
  <si>
    <t>TỔNG CHI NSĐP</t>
  </si>
  <si>
    <t xml:space="preserve">Tổng chi cân đối NSĐP </t>
  </si>
  <si>
    <t>Chi các chương trình mục tiêu</t>
  </si>
  <si>
    <t>Chi chuyển nguồn sang năm sau</t>
  </si>
  <si>
    <t>Chi nộp ngân sách cấp trên</t>
  </si>
  <si>
    <t>Chi cho vay</t>
  </si>
  <si>
    <t>BỘI CHI NSĐP/BỘI THU NSĐP/KẾT DƯ NSĐP</t>
  </si>
  <si>
    <t>CHI TRẢ NỢ GỐC CỦA NSĐP</t>
  </si>
  <si>
    <t>Từ nguồn vay để trả nợ gốc</t>
  </si>
  <si>
    <t>Từ nguồn bội thu, tăng thu, tiết kiệm chi, kết dư ngân sách cấp huyện</t>
  </si>
  <si>
    <t>TỔNG MỨC VAY CỦA NSĐP</t>
  </si>
  <si>
    <t>Vay để bù đắp bội chi</t>
  </si>
  <si>
    <t>Vay để trả nợ gốc</t>
  </si>
  <si>
    <t>G</t>
  </si>
  <si>
    <t>TỔNG MỨC DƯ NỢ VAY CUỐI NĂM CỦA NSĐP</t>
  </si>
  <si>
    <t>Phụ lục số 01</t>
  </si>
  <si>
    <t>QUYẾT TOÁN CHI NGÂN SÁCH CẤP XÃ CHO TỪNG CƠ QUAN, TỔ CHỨC THEO LĨNH VỰC NĂM 2025</t>
  </si>
  <si>
    <t>Tên đơn vị</t>
  </si>
  <si>
    <t>So sánh (%)</t>
  </si>
  <si>
    <r>
      <t xml:space="preserve">Chi đầu tư phát triển </t>
    </r>
    <r>
      <rPr>
        <sz val="10"/>
        <rFont val="Times New Roman"/>
        <family val="1"/>
      </rPr>
      <t>(Không kể chương trình MTQG)</t>
    </r>
  </si>
  <si>
    <r>
      <t xml:space="preserve">Chi thường xuyên </t>
    </r>
    <r>
      <rPr>
        <sz val="10"/>
        <rFont val="Times New Roman"/>
        <family val="1"/>
      </rPr>
      <t>(Không kể chương trình MTQG)</t>
    </r>
  </si>
  <si>
    <t>Chi CTMT</t>
  </si>
  <si>
    <t>Chi chương trình mục tiêu</t>
  </si>
  <si>
    <t>Chi chuyển nguồn sang ngân sách năm sau</t>
  </si>
  <si>
    <t>Chi bổ sung cho ngân sách cấp dưới</t>
  </si>
  <si>
    <t>Chi các nội dung khác</t>
  </si>
  <si>
    <t xml:space="preserve">Chi thường xuyên </t>
  </si>
  <si>
    <t>Chi sự nghiệp</t>
  </si>
  <si>
    <t>4=5+6+7+10+11+12</t>
  </si>
  <si>
    <t>CÁC CƠ QUAN, TỔ CHỨC</t>
  </si>
  <si>
    <t>Văn phòng Đảng ủy xã</t>
  </si>
  <si>
    <t>Ủy ban MTTQ Việt Nam xã</t>
  </si>
  <si>
    <t>Văn phòng HĐND và UBND xã</t>
  </si>
  <si>
    <t>Phòng Kinh tế</t>
  </si>
  <si>
    <t>Phòng Văn hóa - Xã hội</t>
  </si>
  <si>
    <t>Trung tâm phục vụ hành chính công</t>
  </si>
  <si>
    <t>Trung tâm Dịch vụ tổng hợp</t>
  </si>
  <si>
    <t>Trung tâm chính trị</t>
  </si>
  <si>
    <t>Trạm y tế xã</t>
  </si>
  <si>
    <t>UBND xã: Điều chỉnh Điều chỉnh tăng số chi ngân sách xã Quỳnh Nhai khi thực hiện chính quyền địa phương 02 cấp</t>
  </si>
  <si>
    <t>CÁC ĐƠN VỊ TRƯỜNG HỌC</t>
  </si>
  <si>
    <t>Mầm non Sơn Ca</t>
  </si>
  <si>
    <t>Mầm non Chiềng Ơn</t>
  </si>
  <si>
    <t>Mầm non Mường Giàng</t>
  </si>
  <si>
    <t>Mầm non Họa My</t>
  </si>
  <si>
    <t>Mầm non Hoa Ban</t>
  </si>
  <si>
    <t>Mầm non Chiềng Khoang</t>
  </si>
  <si>
    <t>Tiểu học Mường Giàng</t>
  </si>
  <si>
    <t>Tiểu học Kim Đồng</t>
  </si>
  <si>
    <t>Tiểu học Chiềng Bằng</t>
  </si>
  <si>
    <t>Tiểu học và THCS Chiềng Ơn</t>
  </si>
  <si>
    <t>Tiểu học và THCS Bình Minh</t>
  </si>
  <si>
    <t>Tiểu học và THCS Chiềng Khoang</t>
  </si>
  <si>
    <t>THCS Mường Giàng</t>
  </si>
  <si>
    <t>THCS Nguyễn Tất Thành</t>
  </si>
  <si>
    <t>THCS Chiềng Bằng</t>
  </si>
  <si>
    <t xml:space="preserve">CHI HỖ TRỢ TIỀN ĐIỆN HỘ NGHÈO </t>
  </si>
  <si>
    <t>CHI BỔ SUNG CÓ MỤC TIÊU CHO NGÂN SÁCH CẤP DƯỚI</t>
  </si>
  <si>
    <t>CÁC KHOẢN CHI KHÁC THEO QUY ĐỊNH CỦA PL</t>
  </si>
  <si>
    <t>CHI CHUYỂN NGUỒN SANG NGÂN SÁCH NĂM SAU</t>
  </si>
  <si>
    <t>VII</t>
  </si>
  <si>
    <t>QUYẾT TOÁN CHI CHƯƠNG TRÌNH MỤC TIÊU QUỐC GIA NĂM 2025</t>
  </si>
  <si>
    <t>S TT</t>
  </si>
  <si>
    <t xml:space="preserve">Nội dung </t>
  </si>
  <si>
    <t>Chương trình mục tiêu giảm nghèo bền vững</t>
  </si>
  <si>
    <t>Chương trình mục tiêu quốc gia phát triển KT-XH vùng đồng bào DTTS và MN</t>
  </si>
  <si>
    <t>Chương trình mục tiêu quốc gia XD NTM</t>
  </si>
  <si>
    <t>Chi Sự nghiệp</t>
  </si>
  <si>
    <t>Chia ra</t>
  </si>
  <si>
    <t>Vốn trong nước</t>
  </si>
  <si>
    <t>Vốn ngoài nước</t>
  </si>
  <si>
    <t>29=5/1</t>
  </si>
  <si>
    <t>30=6/2</t>
  </si>
  <si>
    <t>31=7/3</t>
  </si>
  <si>
    <t>Phụ lục số 02</t>
  </si>
  <si>
    <t>Phụ lục số 03</t>
  </si>
  <si>
    <t>Phụ lục số 04</t>
  </si>
  <si>
    <t xml:space="preserve">BÁO CÁO TÌNH HÌNH SỬ DỤNG NGUỒN DỰ PHÒNG NGÂN SÁCH XÃ NĂM 2025 </t>
  </si>
  <si>
    <t>Đơn vị: Triệu đồng</t>
  </si>
  <si>
    <t xml:space="preserve">Quyết định </t>
  </si>
  <si>
    <t>Đơn vị</t>
  </si>
  <si>
    <t>Dự toán tỉnh giao</t>
  </si>
  <si>
    <t>Dự toán đã phân bổ</t>
  </si>
  <si>
    <t>Dự toán còn lại</t>
  </si>
  <si>
    <t>Số</t>
  </si>
  <si>
    <t>Ngày tháng</t>
  </si>
  <si>
    <t>11/9/2025</t>
  </si>
  <si>
    <t xml:space="preserve">Kinh phí phòng, chống dịch tả lợn Châu Phi trên địa bàn xã Quỳnh Nhai, tỉnh Sơn La </t>
  </si>
  <si>
    <t>Kinh phí tổ chức đại hội đảng bộ các cấp</t>
  </si>
  <si>
    <t>Tạm ứng kinh phí thực hiện Nghị định số 76/NĐ-CP</t>
  </si>
  <si>
    <t xml:space="preserve">Kinh phí phụ cấp, trợ cấp đối với lực lượng dân quân theo nghị định số 16/2025/NĐ-CP của Chính phủ; Nghị quyết số 112/2025/NQ-HĐND ngày 29/4/2025 của HĐND tỉnh </t>
  </si>
  <si>
    <t>Kinh phí đón quân nhân hoàn thành nghĩa vụ trở về địa phương và tuyển quân năm 2026</t>
  </si>
  <si>
    <t>Kinh phí tặng quà cho nhân dân nhân dịp kỷ niệm 80 năm Cách mạng tháng Tám và Quốc khánh 2/9</t>
  </si>
  <si>
    <t>Khắc phục sạt lở do mưa lũ gây ra tại các tuyến đường trên địa bàn xã Quỳnh Nhai</t>
  </si>
  <si>
    <t>30/12/2025</t>
  </si>
  <si>
    <t>Thu hồi Tạm ứng kinh phí thực hiện Nghị định số 76/NĐ-CP</t>
  </si>
  <si>
    <t>Kinh phí hỗ trợ dịch tả lợn Châu phi</t>
  </si>
  <si>
    <t>Kinh phí lắp đặt, sửa chữa, thay thế và bổ sung hệ thống chiếu sáng khu trung tâm thị trấn</t>
  </si>
  <si>
    <t>Quỹ thi đua khen thưởng xã</t>
  </si>
  <si>
    <t>Dự toán HĐND xã giao</t>
  </si>
  <si>
    <t>Mã CTMT</t>
  </si>
  <si>
    <t>800</t>
  </si>
  <si>
    <t>6699</t>
  </si>
  <si>
    <t>7049</t>
  </si>
  <si>
    <t>7149</t>
  </si>
  <si>
    <t>281</t>
  </si>
  <si>
    <t>280</t>
  </si>
  <si>
    <t>10472</t>
  </si>
  <si>
    <t>10493</t>
  </si>
  <si>
    <t>20493</t>
  </si>
  <si>
    <t>292</t>
  </si>
  <si>
    <t>6799</t>
  </si>
  <si>
    <t>6922</t>
  </si>
  <si>
    <t>20492</t>
  </si>
  <si>
    <t>6949</t>
  </si>
  <si>
    <t>321</t>
  </si>
  <si>
    <t>10492</t>
  </si>
  <si>
    <t>8199</t>
  </si>
  <si>
    <t>332</t>
  </si>
  <si>
    <t>20491</t>
  </si>
  <si>
    <t>6551</t>
  </si>
  <si>
    <t>6599</t>
  </si>
  <si>
    <t>6701</t>
  </si>
  <si>
    <t>6702</t>
  </si>
  <si>
    <t>6703</t>
  </si>
  <si>
    <t>7001</t>
  </si>
  <si>
    <t>341</t>
  </si>
  <si>
    <t>10502</t>
  </si>
  <si>
    <t>10514</t>
  </si>
  <si>
    <t>10511</t>
  </si>
  <si>
    <t>311</t>
  </si>
  <si>
    <t>340</t>
  </si>
  <si>
    <t>6650</t>
  </si>
  <si>
    <t>7000</t>
  </si>
  <si>
    <t>7100</t>
  </si>
  <si>
    <t>6700</t>
  </si>
  <si>
    <t>6900</t>
  </si>
  <si>
    <t>6750</t>
  </si>
  <si>
    <t>8150</t>
  </si>
  <si>
    <t>6550</t>
  </si>
  <si>
    <t>Phụ lục số 05</t>
  </si>
  <si>
    <t>CHI KHẮC PHỤC HẬU QUẢ THIÊN TAI NĂM 2025</t>
  </si>
  <si>
    <t>Phụ lục số 06</t>
  </si>
  <si>
    <t>Phụ lục số 07</t>
  </si>
  <si>
    <t>CÂN ĐỐI QUYẾT TOÁN NGÂN SÁCH XÃ NĂM 2025</t>
  </si>
  <si>
    <t>QUYẾT TOÁN THU NGÂN SÁCH XÃ NĂM 2025</t>
  </si>
  <si>
    <t xml:space="preserve">QUYẾT TOÁN CHI NGÂN SÁCH XÃ NĂM 2025 </t>
  </si>
  <si>
    <t xml:space="preserve"> QUYẾT TOÁN CÂN ĐỐI NGÂN SÁCH XÃ NĂM 2025</t>
  </si>
  <si>
    <t>(Kèm theo Nghị quyết số 13/NQ-HĐND ngày 25 tháng 3 năm 2026 của HĐND  xã Quỳnh Nhai)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</si>
</sst>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 #,##0.00_-;_-* &quot;-&quot;??_-;_-@_-"/>
    <numFmt numFmtId="164" formatCode="_-* #,##0.00\ _₫_-;\-* #,##0.00\ _₫_-;_-* &quot;-&quot;??\ _₫_-;_-@_-"/>
    <numFmt numFmtId="165" formatCode="_(* #,##0.00_);_(* \(#,##0.00\);_(* &quot;-&quot;??_);_(@_)"/>
    <numFmt numFmtId="166" formatCode="0_ ;\-0\ "/>
    <numFmt numFmtId="167" formatCode="_(* #,##0_);_(* \(#,##0\);_(* &quot;-&quot;??_);_(@_)"/>
    <numFmt numFmtId="168" formatCode="_-* #,##0.000\ _₫_-;\-* #,##0.000\ _₫_-;_-* &quot;-&quot;??\ _₫_-;_-@_-"/>
    <numFmt numFmtId="169" formatCode="_-* #,##0\ _₫_-;\-* #,##0\ _₫_-;_-* &quot;-&quot;??\ _₫_-;_-@_-"/>
    <numFmt numFmtId="170" formatCode="_-* #,##0.000000\ _₫_-;\-* #,##0.000000\ _₫_-;_-* &quot;-&quot;??\ _₫_-;_-@_-"/>
    <numFmt numFmtId="171" formatCode="_-* #,##0_-;\-* #,##0_-;_-* &quot;-&quot;??_-;_-@_-"/>
    <numFmt numFmtId="172" formatCode="#,##0_ ;\-#,##0\ "/>
    <numFmt numFmtId="173" formatCode="#,##0.0"/>
    <numFmt numFmtId="174" formatCode="_-* #,##0.0\ _₫_-;\-* #,##0.0\ _₫_-;_-* &quot;-&quot;??\ _₫_-;_-@_-"/>
    <numFmt numFmtId="175" formatCode="_-* #,##0.000_-;\-* #,##0.000_-;_-* &quot;-&quot;??_-;_-@_-"/>
    <numFmt numFmtId="176" formatCode="_-* #,##0.000\ _₫_-;\-* #,##0.000\ _₫_-;_-* &quot;-&quot;???\ _₫_-;_-@_-"/>
    <numFmt numFmtId="177" formatCode="_-* #,##0.0\ _₫_-;\-* #,##0.0\ _₫_-;_-* &quot;-&quot;?\ _₫_-;_-@_-"/>
    <numFmt numFmtId="178" formatCode="_-* #,##0.00\ _₫_-;\-* #,##0.00\ _₫_-;_-* &quot;-&quot;?\ _₫_-;_-@_-"/>
    <numFmt numFmtId="179" formatCode="_-* #,##0.000\ _₫_-;\-* #,##0.000\ _₫_-;_-* &quot;-&quot;?\ _₫_-;_-@_-"/>
    <numFmt numFmtId="180" formatCode="0.0%"/>
    <numFmt numFmtId="181" formatCode="_(* #,##0.0_);_(* \(#,##0.0\);_(* &quot;-&quot;??_);_(@_)"/>
    <numFmt numFmtId="182" formatCode="_(* #,##0.000_);_(* \(#,##0.000\);_(* &quot;-&quot;??_);_(@_)"/>
  </numFmts>
  <fonts count="127" x14ac:knownFonts="1">
    <font>
      <sz val="11"/>
      <color theme="1"/>
      <name val="Calibri"/>
      <family val="2"/>
      <scheme val="minor"/>
    </font>
    <font>
      <sz val="11"/>
      <color indexed="8"/>
      <name val="Calibri"/>
      <family val="2"/>
    </font>
    <font>
      <sz val="10"/>
      <name val="Arial"/>
      <family val="2"/>
    </font>
    <font>
      <sz val="10"/>
      <name val="Times New Roman"/>
      <family val="1"/>
      <charset val="163"/>
    </font>
    <font>
      <b/>
      <sz val="10"/>
      <name val="Times New Roman"/>
      <family val="1"/>
      <charset val="163"/>
    </font>
    <font>
      <sz val="12"/>
      <name val="Times New Roman"/>
      <family val="1"/>
    </font>
    <font>
      <i/>
      <sz val="12"/>
      <name val="Times New Roman"/>
      <family val="1"/>
      <charset val="163"/>
    </font>
    <font>
      <b/>
      <sz val="12"/>
      <name val="Times New Roman"/>
      <family val="1"/>
      <charset val="163"/>
    </font>
    <font>
      <i/>
      <sz val="14"/>
      <name val="Times New Roman"/>
      <family val="1"/>
      <charset val="163"/>
    </font>
    <font>
      <sz val="10"/>
      <name val="Arial"/>
      <family val="2"/>
      <charset val="163"/>
    </font>
    <font>
      <b/>
      <sz val="11"/>
      <name val="Times New Roman"/>
      <family val="1"/>
      <charset val="163"/>
    </font>
    <font>
      <sz val="11"/>
      <name val="Times New Roman"/>
      <family val="1"/>
      <charset val="163"/>
    </font>
    <font>
      <i/>
      <sz val="10"/>
      <name val="Times New Roman"/>
      <family val="1"/>
      <charset val="163"/>
    </font>
    <font>
      <b/>
      <sz val="14"/>
      <name val="Times New Roman"/>
      <family val="1"/>
      <charset val="163"/>
    </font>
    <font>
      <i/>
      <sz val="9"/>
      <name val="Times New Roman"/>
      <family val="1"/>
      <charset val="163"/>
    </font>
    <font>
      <b/>
      <i/>
      <sz val="10"/>
      <name val="Times New Roman"/>
      <family val="1"/>
      <charset val="163"/>
    </font>
    <font>
      <sz val="12"/>
      <name val="Times New Roman"/>
      <family val="1"/>
      <charset val="163"/>
    </font>
    <font>
      <b/>
      <sz val="13"/>
      <name val="Times New Roman"/>
      <family val="1"/>
      <charset val="163"/>
    </font>
    <font>
      <sz val="9"/>
      <color indexed="81"/>
      <name val="Tahoma"/>
      <family val="2"/>
      <charset val="163"/>
    </font>
    <font>
      <b/>
      <sz val="9"/>
      <color indexed="81"/>
      <name val="Tahoma"/>
      <family val="2"/>
      <charset val="163"/>
    </font>
    <font>
      <sz val="11"/>
      <color theme="1"/>
      <name val="Calibri"/>
      <family val="2"/>
      <scheme val="minor"/>
    </font>
    <font>
      <b/>
      <sz val="10"/>
      <color rgb="FF000000"/>
      <name val="Times New Roman"/>
      <family val="1"/>
      <charset val="163"/>
    </font>
    <font>
      <sz val="11"/>
      <color theme="1"/>
      <name val="Times New Roman"/>
      <family val="1"/>
      <charset val="163"/>
    </font>
    <font>
      <sz val="10"/>
      <color rgb="FF000000"/>
      <name val="Times New Roman"/>
      <family val="1"/>
      <charset val="163"/>
    </font>
    <font>
      <i/>
      <sz val="10"/>
      <color rgb="FF000000"/>
      <name val="Times New Roman"/>
      <family val="1"/>
      <charset val="163"/>
    </font>
    <font>
      <b/>
      <u/>
      <sz val="10"/>
      <color rgb="FF000000"/>
      <name val="Times New Roman"/>
      <family val="1"/>
      <charset val="163"/>
    </font>
    <font>
      <sz val="12"/>
      <color theme="1"/>
      <name val="Times New Roman"/>
      <family val="1"/>
      <charset val="163"/>
    </font>
    <font>
      <b/>
      <sz val="11"/>
      <color theme="1"/>
      <name val="Times New Roman"/>
      <family val="1"/>
      <charset val="163"/>
    </font>
    <font>
      <b/>
      <sz val="11"/>
      <color theme="1"/>
      <name val="Calibri"/>
      <family val="2"/>
      <scheme val="minor"/>
    </font>
    <font>
      <b/>
      <sz val="12"/>
      <color rgb="FF000000"/>
      <name val="Times New Roman"/>
      <family val="1"/>
      <charset val="163"/>
    </font>
    <font>
      <b/>
      <sz val="12"/>
      <color theme="1"/>
      <name val="Cambria"/>
      <family val="1"/>
      <charset val="163"/>
      <scheme val="major"/>
    </font>
    <font>
      <i/>
      <sz val="11"/>
      <color theme="1"/>
      <name val="Calibri"/>
      <family val="2"/>
      <scheme val="minor"/>
    </font>
    <font>
      <b/>
      <u/>
      <sz val="11"/>
      <color theme="1"/>
      <name val="Calibri"/>
      <family val="2"/>
      <scheme val="minor"/>
    </font>
    <font>
      <b/>
      <sz val="11"/>
      <color theme="1"/>
      <name val="Cambria"/>
      <family val="1"/>
      <charset val="163"/>
      <scheme val="major"/>
    </font>
    <font>
      <b/>
      <sz val="11"/>
      <color rgb="FF000000"/>
      <name val="Times New Roman"/>
      <family val="1"/>
      <charset val="163"/>
    </font>
    <font>
      <i/>
      <sz val="12"/>
      <color rgb="FF000000"/>
      <name val="Times New Roman"/>
      <family val="1"/>
      <charset val="163"/>
    </font>
    <font>
      <b/>
      <sz val="14"/>
      <color rgb="FF000000"/>
      <name val="Times New Roman"/>
      <family val="1"/>
      <charset val="163"/>
    </font>
    <font>
      <i/>
      <sz val="14"/>
      <color rgb="FF000000"/>
      <name val="Times New Roman"/>
      <family val="1"/>
      <charset val="163"/>
    </font>
    <font>
      <sz val="12"/>
      <color theme="1"/>
      <name val="Times New Roman"/>
      <family val="1"/>
    </font>
    <font>
      <b/>
      <sz val="12"/>
      <color theme="1"/>
      <name val="Times New Roman"/>
      <family val="1"/>
    </font>
    <font>
      <u/>
      <sz val="11"/>
      <color theme="1"/>
      <name val="Calibri"/>
      <family val="2"/>
      <scheme val="minor"/>
    </font>
    <font>
      <b/>
      <i/>
      <sz val="11"/>
      <color theme="1"/>
      <name val="Times New Roman"/>
      <family val="1"/>
      <charset val="163"/>
    </font>
    <font>
      <b/>
      <sz val="10"/>
      <color theme="1"/>
      <name val="Times New Roman"/>
      <family val="1"/>
    </font>
    <font>
      <sz val="11"/>
      <color theme="1"/>
      <name val="Cambria"/>
      <family val="1"/>
      <charset val="163"/>
      <scheme val="major"/>
    </font>
    <font>
      <u/>
      <sz val="11"/>
      <color theme="1"/>
      <name val="Cambria"/>
      <family val="1"/>
      <charset val="163"/>
      <scheme val="major"/>
    </font>
    <font>
      <b/>
      <u/>
      <sz val="11"/>
      <color theme="1"/>
      <name val="Cambria"/>
      <family val="1"/>
      <charset val="163"/>
      <scheme val="major"/>
    </font>
    <font>
      <i/>
      <sz val="13"/>
      <color rgb="FF000000"/>
      <name val="Times New Roman"/>
      <family val="1"/>
      <charset val="163"/>
    </font>
    <font>
      <b/>
      <sz val="13"/>
      <color rgb="FF000000"/>
      <name val="Times New Roman"/>
      <family val="1"/>
      <charset val="163"/>
    </font>
    <font>
      <i/>
      <sz val="10"/>
      <color rgb="FFFF0000"/>
      <name val="Times New Roman"/>
      <family val="1"/>
      <charset val="163"/>
    </font>
    <font>
      <i/>
      <sz val="11"/>
      <color rgb="FFFF0000"/>
      <name val="Times New Roman"/>
      <family val="1"/>
      <charset val="163"/>
    </font>
    <font>
      <b/>
      <sz val="10"/>
      <color rgb="FFFF0000"/>
      <name val="Times New Roman"/>
      <family val="1"/>
      <charset val="163"/>
    </font>
    <font>
      <sz val="10"/>
      <color rgb="FF000000"/>
      <name val="Times New Roman"/>
      <family val="1"/>
    </font>
    <font>
      <b/>
      <sz val="10"/>
      <color rgb="FF000000"/>
      <name val="Times New Roman"/>
      <family val="1"/>
    </font>
    <font>
      <i/>
      <sz val="10"/>
      <color rgb="FF000000"/>
      <name val="Times New Roman"/>
      <family val="1"/>
    </font>
    <font>
      <b/>
      <i/>
      <sz val="10"/>
      <color rgb="FF000000"/>
      <name val="Times New Roman"/>
      <family val="1"/>
    </font>
    <font>
      <b/>
      <i/>
      <sz val="10"/>
      <color theme="1"/>
      <name val="Times New Roman"/>
      <family val="1"/>
    </font>
    <font>
      <sz val="10"/>
      <name val="Times New Roman"/>
      <family val="1"/>
    </font>
    <font>
      <sz val="11"/>
      <color rgb="FFFF0000"/>
      <name val="Times New Roman"/>
      <family val="1"/>
      <charset val="163"/>
    </font>
    <font>
      <b/>
      <sz val="11"/>
      <color rgb="FFFF0000"/>
      <name val="Times New Roman"/>
      <family val="1"/>
      <charset val="163"/>
    </font>
    <font>
      <b/>
      <sz val="12"/>
      <color rgb="FFFF0000"/>
      <name val="Times New Roman"/>
      <family val="1"/>
    </font>
    <font>
      <sz val="14"/>
      <name val="Times New Roman"/>
      <family val="1"/>
      <charset val="163"/>
    </font>
    <font>
      <sz val="11"/>
      <color theme="1"/>
      <name val="Times New Roman"/>
      <family val="1"/>
    </font>
    <font>
      <b/>
      <sz val="12"/>
      <color rgb="FF000000"/>
      <name val="Times New Roman"/>
      <family val="1"/>
    </font>
    <font>
      <b/>
      <sz val="14"/>
      <color rgb="FF000000"/>
      <name val="Times New Roman"/>
      <family val="1"/>
    </font>
    <font>
      <i/>
      <sz val="14"/>
      <color rgb="FF000000"/>
      <name val="Times New Roman"/>
      <family val="1"/>
    </font>
    <font>
      <i/>
      <sz val="12"/>
      <color rgb="FF000000"/>
      <name val="Times New Roman"/>
      <family val="1"/>
    </font>
    <font>
      <i/>
      <sz val="11"/>
      <color theme="1"/>
      <name val="Times New Roman"/>
      <family val="1"/>
    </font>
    <font>
      <b/>
      <sz val="11"/>
      <color theme="1"/>
      <name val="Times New Roman"/>
      <family val="1"/>
    </font>
    <font>
      <b/>
      <sz val="11"/>
      <color rgb="FF000000"/>
      <name val="Times New Roman"/>
      <family val="1"/>
    </font>
    <font>
      <b/>
      <sz val="6"/>
      <color indexed="81"/>
      <name val="Tahoma"/>
      <family val="2"/>
    </font>
    <font>
      <sz val="8"/>
      <name val="Calibri"/>
      <family val="2"/>
      <scheme val="minor"/>
    </font>
    <font>
      <b/>
      <sz val="9"/>
      <color indexed="81"/>
      <name val="Tahoma"/>
      <family val="2"/>
    </font>
    <font>
      <sz val="8"/>
      <color theme="1"/>
      <name val="Calibri"/>
      <family val="2"/>
      <scheme val="minor"/>
    </font>
    <font>
      <sz val="8"/>
      <name val="Times New Roman"/>
      <family val="1"/>
      <charset val="163"/>
    </font>
    <font>
      <sz val="8"/>
      <name val="Times New Roman"/>
      <family val="1"/>
    </font>
    <font>
      <b/>
      <sz val="8"/>
      <color theme="1"/>
      <name val="Calibri"/>
      <family val="2"/>
      <scheme val="minor"/>
    </font>
    <font>
      <b/>
      <sz val="8"/>
      <color rgb="FFFF0000"/>
      <name val="Calibri"/>
      <family val="2"/>
      <charset val="163"/>
      <scheme val="minor"/>
    </font>
    <font>
      <b/>
      <sz val="11"/>
      <color rgb="FFFF0000"/>
      <name val="Calibri"/>
      <family val="2"/>
      <charset val="163"/>
      <scheme val="minor"/>
    </font>
    <font>
      <b/>
      <sz val="11"/>
      <color rgb="FFFF0000"/>
      <name val="Cambria"/>
      <family val="1"/>
      <charset val="163"/>
      <scheme val="major"/>
    </font>
    <font>
      <b/>
      <sz val="10"/>
      <name val="Times New Roman"/>
      <family val="1"/>
    </font>
    <font>
      <b/>
      <sz val="8"/>
      <color rgb="FFFF0000"/>
      <name val="Calibri"/>
      <family val="2"/>
      <scheme val="minor"/>
    </font>
    <font>
      <b/>
      <sz val="10"/>
      <color theme="1"/>
      <name val="Times New Roman"/>
      <family val="1"/>
      <charset val="163"/>
    </font>
    <font>
      <b/>
      <sz val="11"/>
      <name val="Times New Roman"/>
      <family val="1"/>
    </font>
    <font>
      <i/>
      <sz val="11"/>
      <color theme="1"/>
      <name val="Cambria"/>
      <family val="1"/>
      <charset val="163"/>
      <scheme val="major"/>
    </font>
    <font>
      <i/>
      <sz val="11"/>
      <color theme="1"/>
      <name val="Calibri"/>
      <family val="2"/>
      <charset val="163"/>
      <scheme val="minor"/>
    </font>
    <font>
      <b/>
      <sz val="11"/>
      <color theme="1"/>
      <name val="Cambria"/>
      <family val="1"/>
      <scheme val="major"/>
    </font>
    <font>
      <sz val="12"/>
      <color theme="1"/>
      <name val="Calibri"/>
      <family val="2"/>
      <scheme val="minor"/>
    </font>
    <font>
      <sz val="12"/>
      <color rgb="FF000000"/>
      <name val="Times New Roman"/>
      <family val="1"/>
      <charset val="163"/>
    </font>
    <font>
      <i/>
      <sz val="12"/>
      <color theme="1"/>
      <name val="Times New Roman"/>
      <family val="1"/>
    </font>
    <font>
      <b/>
      <sz val="12"/>
      <name val="Times New Roman"/>
      <family val="1"/>
    </font>
    <font>
      <sz val="11"/>
      <name val="Times New Roman"/>
      <family val="1"/>
    </font>
    <font>
      <i/>
      <sz val="11"/>
      <name val="Times New Roman"/>
      <family val="1"/>
    </font>
    <font>
      <b/>
      <sz val="14"/>
      <name val="Times New Roman"/>
      <family val="1"/>
    </font>
    <font>
      <i/>
      <sz val="14"/>
      <name val="Times New Roman"/>
      <family val="1"/>
    </font>
    <font>
      <i/>
      <sz val="12"/>
      <name val="Times New Roman"/>
      <family val="1"/>
    </font>
    <font>
      <b/>
      <sz val="8"/>
      <name val="Times New Roman"/>
      <family val="1"/>
    </font>
    <font>
      <sz val="12"/>
      <color rgb="FFFF0000"/>
      <name val="Times New Roman"/>
      <family val="1"/>
    </font>
    <font>
      <sz val="12"/>
      <color rgb="FFFF0000"/>
      <name val="Times New Roman"/>
      <family val="1"/>
      <charset val="163"/>
    </font>
    <font>
      <sz val="12"/>
      <color rgb="FFFF0000"/>
      <name val="Calibri"/>
      <family val="2"/>
      <scheme val="minor"/>
    </font>
    <font>
      <i/>
      <sz val="12"/>
      <color rgb="FFFF0000"/>
      <name val="Times New Roman"/>
      <family val="1"/>
      <charset val="163"/>
    </font>
    <font>
      <sz val="13"/>
      <name val="Times New Roman"/>
      <family val="1"/>
    </font>
    <font>
      <b/>
      <i/>
      <sz val="10"/>
      <name val="Times New Roman"/>
      <family val="1"/>
    </font>
    <font>
      <sz val="12"/>
      <name val=".VnArial"/>
      <family val="2"/>
    </font>
    <font>
      <sz val="14"/>
      <name val="Times New Roman"/>
      <family val="1"/>
    </font>
    <font>
      <sz val="12"/>
      <color rgb="FF000000"/>
      <name val="Times New Roman"/>
      <family val="1"/>
    </font>
    <font>
      <sz val="11"/>
      <color theme="1"/>
      <name val="Calibri"/>
      <family val="2"/>
      <charset val="163"/>
      <scheme val="minor"/>
    </font>
    <font>
      <b/>
      <sz val="12"/>
      <color theme="1"/>
      <name val="Times New Roman"/>
      <family val="1"/>
      <charset val="163"/>
    </font>
    <font>
      <i/>
      <sz val="10"/>
      <name val="Times New Roman"/>
      <family val="1"/>
    </font>
    <font>
      <i/>
      <sz val="9"/>
      <name val="Times New Roman"/>
      <family val="1"/>
    </font>
    <font>
      <b/>
      <sz val="9"/>
      <name val="Times New Roman"/>
      <family val="1"/>
    </font>
    <font>
      <b/>
      <u/>
      <sz val="9"/>
      <name val="Times New Roman"/>
      <family val="1"/>
    </font>
    <font>
      <sz val="9"/>
      <name val="Times New Roman"/>
      <family val="1"/>
    </font>
    <font>
      <b/>
      <u/>
      <sz val="10"/>
      <name val="Times New Roman"/>
      <family val="1"/>
    </font>
    <font>
      <b/>
      <sz val="9"/>
      <color rgb="FF000000"/>
      <name val="Times New Roman"/>
      <family val="1"/>
      <charset val="163"/>
    </font>
    <font>
      <b/>
      <sz val="8"/>
      <color rgb="FF000000"/>
      <name val="Times New Roman"/>
      <family val="1"/>
      <charset val="163"/>
    </font>
    <font>
      <sz val="7"/>
      <color rgb="FF000000"/>
      <name val="Times New Roman"/>
      <family val="1"/>
      <charset val="163"/>
    </font>
    <font>
      <sz val="8"/>
      <color theme="1"/>
      <name val="Times New Roman"/>
      <family val="1"/>
      <charset val="163"/>
    </font>
    <font>
      <b/>
      <sz val="7"/>
      <color rgb="FF000000"/>
      <name val="Times New Roman"/>
      <family val="1"/>
      <charset val="163"/>
    </font>
    <font>
      <b/>
      <sz val="8"/>
      <color theme="1"/>
      <name val="Times New Roman"/>
      <family val="1"/>
    </font>
    <font>
      <i/>
      <sz val="6"/>
      <color rgb="FF000000"/>
      <name val="Times New Roman"/>
      <family val="1"/>
      <charset val="163"/>
    </font>
    <font>
      <b/>
      <i/>
      <sz val="6"/>
      <color rgb="FF000000"/>
      <name val="Times New Roman"/>
      <family val="1"/>
      <charset val="163"/>
    </font>
    <font>
      <i/>
      <sz val="6"/>
      <color theme="1"/>
      <name val="Times New Roman"/>
      <family val="1"/>
      <charset val="163"/>
    </font>
    <font>
      <sz val="10"/>
      <color theme="1"/>
      <name val="Times New Roman"/>
      <family val="1"/>
      <charset val="163"/>
    </font>
    <font>
      <sz val="10"/>
      <color rgb="FFFF0000"/>
      <name val="Times New Roman"/>
      <family val="1"/>
      <charset val="163"/>
    </font>
    <font>
      <sz val="9"/>
      <color theme="1"/>
      <name val="Times New Roman"/>
      <family val="1"/>
      <charset val="163"/>
    </font>
    <font>
      <b/>
      <i/>
      <sz val="12"/>
      <name val="Times New Roman"/>
      <family val="1"/>
    </font>
    <font>
      <b/>
      <i/>
      <sz val="14"/>
      <name val="Times New Roman"/>
      <family val="1"/>
    </font>
  </fonts>
  <fills count="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right/>
      <top style="thin">
        <color indexed="64"/>
      </top>
      <bottom/>
      <diagonal/>
    </border>
  </borders>
  <cellStyleXfs count="18">
    <xf numFmtId="0" fontId="0" fillId="0" borderId="0"/>
    <xf numFmtId="164" fontId="20" fillId="0" borderId="0" applyFont="0" applyFill="0" applyBorder="0" applyAlignment="0" applyProtection="0"/>
    <xf numFmtId="164" fontId="20" fillId="0" borderId="0" applyFont="0" applyFill="0" applyBorder="0" applyAlignment="0" applyProtection="0"/>
    <xf numFmtId="170" fontId="5" fillId="0" borderId="0" applyFont="0" applyFill="0" applyBorder="0" applyAlignment="0" applyProtection="0"/>
    <xf numFmtId="166" fontId="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 fillId="0" borderId="0"/>
    <xf numFmtId="0" fontId="9" fillId="0" borderId="0"/>
    <xf numFmtId="0" fontId="5" fillId="0" borderId="0"/>
    <xf numFmtId="0" fontId="16" fillId="0" borderId="0"/>
    <xf numFmtId="0" fontId="16" fillId="0" borderId="0"/>
    <xf numFmtId="9" fontId="20" fillId="0" borderId="0" applyFont="0" applyFill="0" applyBorder="0" applyAlignment="0" applyProtection="0"/>
    <xf numFmtId="0" fontId="102" fillId="0" borderId="0"/>
    <xf numFmtId="165" fontId="100" fillId="0" borderId="0" applyFont="0" applyFill="0" applyBorder="0" applyAlignment="0" applyProtection="0"/>
    <xf numFmtId="165" fontId="2" fillId="0" borderId="0" applyFont="0" applyFill="0" applyBorder="0" applyAlignment="0" applyProtection="0"/>
    <xf numFmtId="0" fontId="105" fillId="0" borderId="0" applyFont="0" applyFill="0" applyBorder="0" applyAlignment="0" applyProtection="0"/>
    <xf numFmtId="165" fontId="2" fillId="0" borderId="0" applyFont="0" applyFill="0" applyBorder="0" applyAlignment="0" applyProtection="0"/>
  </cellStyleXfs>
  <cellXfs count="721">
    <xf numFmtId="0" fontId="0" fillId="0" borderId="0" xfId="0"/>
    <xf numFmtId="0" fontId="21" fillId="0" borderId="0" xfId="0" applyFont="1" applyAlignment="1">
      <alignment vertical="top" wrapText="1"/>
    </xf>
    <xf numFmtId="0" fontId="22" fillId="0" borderId="0" xfId="0" applyFont="1"/>
    <xf numFmtId="0" fontId="21" fillId="0" borderId="1" xfId="0" applyFont="1" applyBorder="1" applyAlignment="1">
      <alignment vertical="center" wrapText="1"/>
    </xf>
    <xf numFmtId="0" fontId="23" fillId="0" borderId="1" xfId="0" applyFont="1" applyBorder="1" applyAlignment="1">
      <alignment vertical="center" wrapText="1"/>
    </xf>
    <xf numFmtId="0" fontId="23" fillId="0" borderId="1" xfId="0" applyFont="1" applyBorder="1" applyAlignment="1">
      <alignment horizontal="center" vertical="center" wrapText="1"/>
    </xf>
    <xf numFmtId="0" fontId="23" fillId="0" borderId="0" xfId="0" applyFont="1"/>
    <xf numFmtId="0" fontId="24" fillId="0" borderId="0" xfId="0" applyFont="1" applyAlignment="1">
      <alignment horizontal="center" vertical="top" wrapText="1"/>
    </xf>
    <xf numFmtId="0" fontId="21" fillId="0" borderId="0" xfId="0" applyFont="1" applyAlignment="1">
      <alignment horizontal="center"/>
    </xf>
    <xf numFmtId="0" fontId="21" fillId="0" borderId="1" xfId="0" applyFont="1" applyBorder="1" applyAlignment="1">
      <alignment horizontal="center" vertical="center" wrapText="1"/>
    </xf>
    <xf numFmtId="0" fontId="24" fillId="0" borderId="1" xfId="0" applyFont="1" applyBorder="1" applyAlignment="1">
      <alignment vertical="center" wrapText="1"/>
    </xf>
    <xf numFmtId="0" fontId="0" fillId="0" borderId="0" xfId="0" applyAlignment="1">
      <alignment vertical="center"/>
    </xf>
    <xf numFmtId="0" fontId="22" fillId="0" borderId="0" xfId="0" applyFont="1" applyAlignment="1">
      <alignment vertical="center"/>
    </xf>
    <xf numFmtId="0" fontId="24" fillId="0" borderId="0" xfId="0" applyFont="1" applyAlignment="1">
      <alignment vertical="top" wrapText="1"/>
    </xf>
    <xf numFmtId="0" fontId="22" fillId="0" borderId="0" xfId="0" applyFont="1" applyAlignment="1">
      <alignment horizontal="center" vertical="top" wrapText="1"/>
    </xf>
    <xf numFmtId="0" fontId="25" fillId="0" borderId="1" xfId="0" applyFont="1" applyBorder="1" applyAlignment="1">
      <alignment vertical="center" wrapText="1"/>
    </xf>
    <xf numFmtId="169" fontId="22" fillId="0" borderId="0" xfId="1" applyNumberFormat="1" applyFont="1"/>
    <xf numFmtId="169" fontId="21" fillId="0" borderId="1" xfId="1" applyNumberFormat="1" applyFont="1" applyBorder="1" applyAlignment="1">
      <alignment horizontal="center" vertical="center" wrapText="1"/>
    </xf>
    <xf numFmtId="169" fontId="23" fillId="0" borderId="1" xfId="1" applyNumberFormat="1" applyFont="1" applyBorder="1" applyAlignment="1">
      <alignment horizontal="center" vertical="center" wrapText="1"/>
    </xf>
    <xf numFmtId="169" fontId="25" fillId="0" borderId="1" xfId="1" applyNumberFormat="1" applyFont="1" applyBorder="1" applyAlignment="1">
      <alignment horizontal="center" vertical="center" wrapText="1"/>
    </xf>
    <xf numFmtId="0" fontId="27" fillId="0" borderId="0" xfId="0" applyFont="1"/>
    <xf numFmtId="0" fontId="25" fillId="0" borderId="1" xfId="0" applyFont="1" applyBorder="1" applyAlignment="1">
      <alignment horizontal="center" vertical="center" wrapText="1"/>
    </xf>
    <xf numFmtId="0" fontId="28" fillId="0" borderId="0" xfId="0" applyFont="1" applyAlignment="1">
      <alignment vertical="center"/>
    </xf>
    <xf numFmtId="0" fontId="24" fillId="0" borderId="1" xfId="0" applyFont="1" applyBorder="1" applyAlignment="1">
      <alignment horizontal="center" vertical="center" wrapText="1"/>
    </xf>
    <xf numFmtId="0" fontId="31" fillId="0" borderId="0" xfId="0" applyFont="1"/>
    <xf numFmtId="0" fontId="28" fillId="0" borderId="0" xfId="0" applyFont="1"/>
    <xf numFmtId="167" fontId="23" fillId="0" borderId="1" xfId="1" applyNumberFormat="1" applyFont="1" applyBorder="1" applyAlignment="1">
      <alignment horizontal="right" vertical="center" shrinkToFit="1"/>
    </xf>
    <xf numFmtId="167" fontId="21" fillId="0" borderId="1" xfId="1" applyNumberFormat="1" applyFont="1" applyBorder="1" applyAlignment="1">
      <alignment horizontal="right" vertical="center" shrinkToFit="1"/>
    </xf>
    <xf numFmtId="167" fontId="22" fillId="0" borderId="0" xfId="0" applyNumberFormat="1" applyFont="1"/>
    <xf numFmtId="167" fontId="21" fillId="0" borderId="1" xfId="1" applyNumberFormat="1" applyFont="1" applyBorder="1" applyAlignment="1">
      <alignment horizontal="center" vertical="center" shrinkToFit="1"/>
    </xf>
    <xf numFmtId="167" fontId="21" fillId="0" borderId="1" xfId="1" applyNumberFormat="1" applyFont="1" applyBorder="1" applyAlignment="1">
      <alignment horizontal="center" vertical="center" wrapText="1"/>
    </xf>
    <xf numFmtId="167" fontId="23" fillId="0" borderId="1" xfId="1" applyNumberFormat="1" applyFont="1" applyBorder="1" applyAlignment="1">
      <alignment horizontal="center" vertical="center" shrinkToFit="1"/>
    </xf>
    <xf numFmtId="167" fontId="23" fillId="0" borderId="1" xfId="1" applyNumberFormat="1" applyFont="1" applyBorder="1" applyAlignment="1">
      <alignment horizontal="center" vertical="center" wrapText="1"/>
    </xf>
    <xf numFmtId="167" fontId="0" fillId="0" borderId="0" xfId="0" applyNumberFormat="1"/>
    <xf numFmtId="167" fontId="24" fillId="0" borderId="1" xfId="1" applyNumberFormat="1" applyFont="1" applyBorder="1" applyAlignment="1">
      <alignment horizontal="center" vertical="center" shrinkToFit="1"/>
    </xf>
    <xf numFmtId="167" fontId="24" fillId="0" borderId="1" xfId="1" applyNumberFormat="1" applyFont="1" applyBorder="1" applyAlignment="1">
      <alignment horizontal="center" vertical="center" wrapText="1"/>
    </xf>
    <xf numFmtId="0" fontId="33" fillId="0" borderId="0" xfId="0" applyFont="1"/>
    <xf numFmtId="0" fontId="27" fillId="0" borderId="0" xfId="0" applyFont="1" applyAlignment="1">
      <alignment vertical="center"/>
    </xf>
    <xf numFmtId="0" fontId="22" fillId="0" borderId="0" xfId="0" applyFont="1" applyAlignment="1">
      <alignment horizontal="center"/>
    </xf>
    <xf numFmtId="167" fontId="22" fillId="0" borderId="0" xfId="0" applyNumberFormat="1" applyFont="1" applyAlignment="1">
      <alignment vertical="center"/>
    </xf>
    <xf numFmtId="0" fontId="22" fillId="0" borderId="1" xfId="0" applyFont="1" applyBorder="1" applyAlignment="1">
      <alignment vertical="center"/>
    </xf>
    <xf numFmtId="0" fontId="21" fillId="0" borderId="0" xfId="0" applyFont="1" applyAlignment="1">
      <alignment horizontal="center" vertical="center" wrapText="1"/>
    </xf>
    <xf numFmtId="0" fontId="23" fillId="0" borderId="0" xfId="0" applyFont="1" applyAlignment="1">
      <alignment horizontal="center" vertical="center" wrapText="1"/>
    </xf>
    <xf numFmtId="167" fontId="21" fillId="0" borderId="0" xfId="1" applyNumberFormat="1" applyFont="1" applyBorder="1" applyAlignment="1">
      <alignment horizontal="right" vertical="center" shrinkToFit="1"/>
    </xf>
    <xf numFmtId="0" fontId="23" fillId="0" borderId="1" xfId="0" quotePrefix="1" applyFont="1" applyBorder="1" applyAlignment="1">
      <alignment horizontal="center" vertical="center" wrapText="1"/>
    </xf>
    <xf numFmtId="0" fontId="0" fillId="0" borderId="0" xfId="0" applyAlignment="1">
      <alignment horizontal="center"/>
    </xf>
    <xf numFmtId="0" fontId="31" fillId="0" borderId="0" xfId="0" applyFont="1" applyAlignment="1">
      <alignment vertical="center"/>
    </xf>
    <xf numFmtId="0" fontId="11" fillId="0" borderId="0" xfId="0" applyFont="1"/>
    <xf numFmtId="0" fontId="14" fillId="0" borderId="1" xfId="0" applyFont="1" applyBorder="1" applyAlignment="1">
      <alignment horizontal="center" vertical="center" wrapText="1"/>
    </xf>
    <xf numFmtId="0" fontId="14" fillId="0" borderId="0" xfId="0" applyFont="1"/>
    <xf numFmtId="0" fontId="10" fillId="0" borderId="0" xfId="0" applyFont="1"/>
    <xf numFmtId="167" fontId="10" fillId="0" borderId="0" xfId="0" applyNumberFormat="1" applyFont="1"/>
    <xf numFmtId="167" fontId="11" fillId="0" borderId="0" xfId="1" applyNumberFormat="1" applyFont="1"/>
    <xf numFmtId="167" fontId="10" fillId="0" borderId="0" xfId="1" applyNumberFormat="1" applyFont="1"/>
    <xf numFmtId="0" fontId="3" fillId="0" borderId="0" xfId="0" applyFont="1"/>
    <xf numFmtId="0" fontId="16" fillId="0" borderId="0" xfId="0" applyFont="1"/>
    <xf numFmtId="0" fontId="15" fillId="0" borderId="0" xfId="0" applyFont="1"/>
    <xf numFmtId="0" fontId="17" fillId="0" borderId="0" xfId="0" applyFont="1"/>
    <xf numFmtId="0" fontId="32" fillId="0" borderId="0" xfId="0" applyFont="1" applyAlignment="1">
      <alignment vertical="center"/>
    </xf>
    <xf numFmtId="0" fontId="24" fillId="0" borderId="0" xfId="0" applyFont="1" applyAlignment="1">
      <alignment horizontal="right"/>
    </xf>
    <xf numFmtId="169" fontId="22" fillId="0" borderId="0" xfId="1" applyNumberFormat="1" applyFont="1" applyAlignment="1">
      <alignment vertical="center"/>
    </xf>
    <xf numFmtId="167" fontId="21" fillId="0" borderId="0" xfId="1" applyNumberFormat="1" applyFont="1" applyFill="1" applyBorder="1" applyAlignment="1">
      <alignment horizontal="right" vertical="center" shrinkToFit="1"/>
    </xf>
    <xf numFmtId="0" fontId="24" fillId="0" borderId="1" xfId="0" quotePrefix="1" applyFont="1" applyBorder="1" applyAlignment="1">
      <alignment vertical="center" wrapText="1"/>
    </xf>
    <xf numFmtId="167" fontId="28" fillId="0" borderId="0" xfId="0" applyNumberFormat="1" applyFont="1"/>
    <xf numFmtId="3" fontId="11" fillId="0" borderId="0" xfId="0" applyNumberFormat="1" applyFont="1"/>
    <xf numFmtId="169" fontId="11" fillId="0" borderId="0" xfId="0" applyNumberFormat="1" applyFont="1"/>
    <xf numFmtId="169" fontId="11" fillId="0" borderId="0" xfId="1" applyNumberFormat="1" applyFont="1"/>
    <xf numFmtId="0" fontId="38" fillId="0" borderId="0" xfId="0" applyFont="1"/>
    <xf numFmtId="0" fontId="39" fillId="0" borderId="0" xfId="0" applyFont="1"/>
    <xf numFmtId="0" fontId="40" fillId="0" borderId="0" xfId="0" applyFont="1" applyAlignment="1">
      <alignment vertical="center"/>
    </xf>
    <xf numFmtId="167" fontId="27" fillId="0" borderId="0" xfId="0" applyNumberFormat="1" applyFont="1" applyAlignment="1">
      <alignment vertical="center"/>
    </xf>
    <xf numFmtId="169" fontId="27" fillId="0" borderId="0" xfId="1" applyNumberFormat="1" applyFont="1" applyAlignment="1">
      <alignment vertical="center"/>
    </xf>
    <xf numFmtId="169" fontId="22" fillId="0" borderId="0" xfId="1" applyNumberFormat="1" applyFont="1" applyFill="1" applyAlignment="1">
      <alignment vertical="center"/>
    </xf>
    <xf numFmtId="169" fontId="22" fillId="0" borderId="0" xfId="0" applyNumberFormat="1" applyFont="1" applyAlignment="1">
      <alignment vertical="center"/>
    </xf>
    <xf numFmtId="169" fontId="27" fillId="0" borderId="0" xfId="0" applyNumberFormat="1" applyFont="1" applyAlignment="1">
      <alignment vertical="center"/>
    </xf>
    <xf numFmtId="167" fontId="24" fillId="0" borderId="1" xfId="1" applyNumberFormat="1" applyFont="1" applyBorder="1" applyAlignment="1">
      <alignment horizontal="right" vertical="center" shrinkToFit="1"/>
    </xf>
    <xf numFmtId="167" fontId="41" fillId="0" borderId="0" xfId="0" applyNumberFormat="1" applyFont="1" applyAlignment="1">
      <alignment vertical="center"/>
    </xf>
    <xf numFmtId="0" fontId="41" fillId="0" borderId="0" xfId="0" applyFont="1" applyAlignment="1">
      <alignment vertical="center"/>
    </xf>
    <xf numFmtId="169" fontId="41" fillId="0" borderId="0" xfId="1" applyNumberFormat="1" applyFont="1" applyAlignment="1">
      <alignment vertical="center"/>
    </xf>
    <xf numFmtId="169" fontId="41" fillId="0" borderId="0" xfId="0" applyNumberFormat="1" applyFont="1" applyAlignment="1">
      <alignment vertical="center"/>
    </xf>
    <xf numFmtId="165" fontId="10" fillId="0" borderId="0" xfId="0" applyNumberFormat="1" applyFont="1"/>
    <xf numFmtId="0" fontId="43" fillId="0" borderId="0" xfId="0" applyFont="1"/>
    <xf numFmtId="0" fontId="43" fillId="0" borderId="0" xfId="0" applyFont="1" applyAlignment="1">
      <alignment vertical="center"/>
    </xf>
    <xf numFmtId="0" fontId="44" fillId="0" borderId="0" xfId="0" applyFont="1" applyAlignment="1">
      <alignment vertical="center"/>
    </xf>
    <xf numFmtId="0" fontId="33" fillId="0" borderId="0" xfId="0" applyFont="1" applyAlignment="1">
      <alignment vertical="center"/>
    </xf>
    <xf numFmtId="0" fontId="48" fillId="0" borderId="1" xfId="0" applyFont="1" applyBorder="1" applyAlignment="1">
      <alignment vertical="center" wrapText="1"/>
    </xf>
    <xf numFmtId="167" fontId="48" fillId="0" borderId="1" xfId="1" applyNumberFormat="1" applyFont="1" applyBorder="1" applyAlignment="1">
      <alignment horizontal="center" vertical="center" wrapText="1"/>
    </xf>
    <xf numFmtId="0" fontId="23" fillId="0" borderId="0" xfId="0" applyFont="1" applyAlignment="1">
      <alignment horizontal="center"/>
    </xf>
    <xf numFmtId="0" fontId="4"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50" fillId="0" borderId="1" xfId="0" applyFont="1" applyBorder="1" applyAlignment="1">
      <alignment horizontal="center" vertical="center" wrapText="1"/>
    </xf>
    <xf numFmtId="167" fontId="3" fillId="0" borderId="1" xfId="1" applyNumberFormat="1" applyFont="1" applyBorder="1" applyAlignment="1">
      <alignment horizontal="right" vertical="center" shrinkToFit="1"/>
    </xf>
    <xf numFmtId="169" fontId="27" fillId="2" borderId="0" xfId="1" applyNumberFormat="1" applyFont="1" applyFill="1" applyAlignment="1">
      <alignment vertical="center"/>
    </xf>
    <xf numFmtId="167" fontId="52" fillId="0" borderId="1" xfId="1" applyNumberFormat="1" applyFont="1" applyBorder="1" applyAlignment="1">
      <alignment horizontal="right" vertical="center" shrinkToFit="1"/>
    </xf>
    <xf numFmtId="167" fontId="52" fillId="0" borderId="0" xfId="1" applyNumberFormat="1" applyFont="1" applyBorder="1" applyAlignment="1">
      <alignment horizontal="right" vertical="center" shrinkToFit="1"/>
    </xf>
    <xf numFmtId="169" fontId="42" fillId="0" borderId="0" xfId="1" applyNumberFormat="1" applyFont="1" applyAlignment="1">
      <alignment vertical="center"/>
    </xf>
    <xf numFmtId="169" fontId="42" fillId="0" borderId="0" xfId="0" applyNumberFormat="1" applyFont="1" applyAlignment="1">
      <alignment vertical="center"/>
    </xf>
    <xf numFmtId="0" fontId="42" fillId="0" borderId="0" xfId="0" applyFont="1" applyAlignment="1">
      <alignment vertical="center"/>
    </xf>
    <xf numFmtId="167" fontId="42" fillId="0" borderId="0" xfId="0" applyNumberFormat="1" applyFont="1" applyAlignment="1">
      <alignment vertical="center"/>
    </xf>
    <xf numFmtId="0" fontId="53" fillId="0" borderId="1" xfId="0" applyFont="1" applyBorder="1" applyAlignment="1">
      <alignment horizontal="center" vertical="center" wrapText="1"/>
    </xf>
    <xf numFmtId="0" fontId="51" fillId="0" borderId="1" xfId="0" applyFont="1" applyBorder="1" applyAlignment="1">
      <alignment vertical="center" wrapText="1"/>
    </xf>
    <xf numFmtId="167" fontId="54" fillId="0" borderId="1" xfId="1" applyNumberFormat="1" applyFont="1" applyBorder="1" applyAlignment="1">
      <alignment horizontal="right" vertical="center" shrinkToFit="1"/>
    </xf>
    <xf numFmtId="167" fontId="54" fillId="0" borderId="0" xfId="1" applyNumberFormat="1" applyFont="1" applyBorder="1" applyAlignment="1">
      <alignment horizontal="right" vertical="center" shrinkToFit="1"/>
    </xf>
    <xf numFmtId="169" fontId="55" fillId="0" borderId="0" xfId="1" applyNumberFormat="1" applyFont="1" applyAlignment="1">
      <alignment vertical="center"/>
    </xf>
    <xf numFmtId="169" fontId="55" fillId="0" borderId="0" xfId="0" applyNumberFormat="1" applyFont="1" applyAlignment="1">
      <alignment vertical="center"/>
    </xf>
    <xf numFmtId="0" fontId="55" fillId="0" borderId="0" xfId="0" applyFont="1" applyAlignment="1">
      <alignment vertical="center"/>
    </xf>
    <xf numFmtId="167" fontId="55" fillId="0" borderId="0" xfId="0" applyNumberFormat="1" applyFont="1" applyAlignment="1">
      <alignment vertical="center"/>
    </xf>
    <xf numFmtId="0" fontId="57" fillId="0" borderId="0" xfId="0" applyFont="1"/>
    <xf numFmtId="0" fontId="49" fillId="0" borderId="0" xfId="0" applyFont="1" applyAlignment="1">
      <alignment vertical="center"/>
    </xf>
    <xf numFmtId="0" fontId="21" fillId="0" borderId="1" xfId="0" applyFont="1" applyBorder="1" applyAlignment="1">
      <alignment horizontal="center" vertical="center"/>
    </xf>
    <xf numFmtId="0" fontId="27" fillId="0" borderId="1" xfId="0" applyFont="1" applyBorder="1" applyAlignment="1">
      <alignment vertical="center"/>
    </xf>
    <xf numFmtId="0" fontId="22" fillId="0" borderId="1" xfId="0" applyFont="1" applyBorder="1" applyAlignment="1">
      <alignment horizontal="center" vertical="center"/>
    </xf>
    <xf numFmtId="169" fontId="22" fillId="0" borderId="1" xfId="1" applyNumberFormat="1" applyFont="1" applyBorder="1" applyAlignment="1">
      <alignment horizontal="right" vertical="center"/>
    </xf>
    <xf numFmtId="0" fontId="27" fillId="0" borderId="1" xfId="0" applyFont="1" applyBorder="1" applyAlignment="1">
      <alignment horizontal="center" vertical="center"/>
    </xf>
    <xf numFmtId="3" fontId="22" fillId="0" borderId="1" xfId="1" applyNumberFormat="1" applyFont="1" applyBorder="1" applyAlignment="1">
      <alignment horizontal="right" vertical="center"/>
    </xf>
    <xf numFmtId="3" fontId="57" fillId="0" borderId="1" xfId="1" applyNumberFormat="1" applyFont="1" applyBorder="1" applyAlignment="1">
      <alignment horizontal="right" vertical="center"/>
    </xf>
    <xf numFmtId="3" fontId="50" fillId="0" borderId="1" xfId="1" applyNumberFormat="1" applyFont="1" applyBorder="1" applyAlignment="1">
      <alignment horizontal="right" vertical="center" shrinkToFit="1"/>
    </xf>
    <xf numFmtId="3" fontId="21" fillId="0" borderId="1" xfId="1" applyNumberFormat="1" applyFont="1" applyBorder="1" applyAlignment="1">
      <alignment horizontal="right" vertical="center" shrinkToFit="1"/>
    </xf>
    <xf numFmtId="3" fontId="23" fillId="0" borderId="1" xfId="1" applyNumberFormat="1" applyFont="1" applyBorder="1" applyAlignment="1">
      <alignment horizontal="right" vertical="center" shrinkToFit="1"/>
    </xf>
    <xf numFmtId="3" fontId="58" fillId="0" borderId="1" xfId="1" applyNumberFormat="1" applyFont="1" applyBorder="1" applyAlignment="1">
      <alignment horizontal="right" vertical="center"/>
    </xf>
    <xf numFmtId="3" fontId="22" fillId="0" borderId="1" xfId="0" applyNumberFormat="1" applyFont="1" applyBorder="1" applyAlignment="1">
      <alignment horizontal="right" vertical="center"/>
    </xf>
    <xf numFmtId="3" fontId="57" fillId="0" borderId="1" xfId="0" applyNumberFormat="1" applyFont="1" applyBorder="1" applyAlignment="1">
      <alignment horizontal="right" vertical="center"/>
    </xf>
    <xf numFmtId="3" fontId="58" fillId="0" borderId="1" xfId="0" applyNumberFormat="1" applyFont="1" applyBorder="1" applyAlignment="1">
      <alignment horizontal="right" vertical="center"/>
    </xf>
    <xf numFmtId="3" fontId="27" fillId="0" borderId="1" xfId="0" applyNumberFormat="1" applyFont="1" applyBorder="1" applyAlignment="1">
      <alignment horizontal="right" vertical="center"/>
    </xf>
    <xf numFmtId="0" fontId="49" fillId="0" borderId="1" xfId="0" quotePrefix="1" applyFont="1" applyBorder="1" applyAlignment="1">
      <alignment horizontal="center" vertical="center"/>
    </xf>
    <xf numFmtId="169" fontId="49" fillId="0" borderId="1" xfId="1" applyNumberFormat="1" applyFont="1" applyBorder="1" applyAlignment="1">
      <alignment horizontal="right" vertical="center"/>
    </xf>
    <xf numFmtId="3" fontId="49" fillId="0" borderId="1" xfId="1" applyNumberFormat="1" applyFont="1" applyBorder="1" applyAlignment="1">
      <alignment horizontal="right" vertical="center"/>
    </xf>
    <xf numFmtId="3" fontId="22" fillId="0" borderId="0" xfId="0" applyNumberFormat="1" applyFont="1" applyAlignment="1">
      <alignment vertical="center"/>
    </xf>
    <xf numFmtId="169" fontId="58" fillId="2" borderId="1" xfId="0" applyNumberFormat="1" applyFont="1" applyFill="1" applyBorder="1" applyAlignment="1">
      <alignment vertical="center"/>
    </xf>
    <xf numFmtId="167" fontId="52" fillId="2" borderId="0" xfId="1" applyNumberFormat="1" applyFont="1" applyFill="1" applyBorder="1" applyAlignment="1">
      <alignment horizontal="right" vertical="center" shrinkToFit="1"/>
    </xf>
    <xf numFmtId="167" fontId="59" fillId="0" borderId="0" xfId="1" applyNumberFormat="1" applyFont="1" applyFill="1" applyBorder="1" applyAlignment="1">
      <alignment vertical="center" shrinkToFit="1"/>
    </xf>
    <xf numFmtId="167" fontId="14" fillId="0" borderId="0" xfId="0" applyNumberFormat="1" applyFont="1"/>
    <xf numFmtId="0" fontId="7" fillId="0" borderId="0" xfId="0" applyFont="1" applyAlignment="1">
      <alignment horizontal="center" vertical="top" wrapText="1"/>
    </xf>
    <xf numFmtId="0" fontId="6" fillId="0" borderId="0" xfId="0" applyFont="1" applyAlignment="1">
      <alignment horizontal="center" vertical="top" wrapText="1"/>
    </xf>
    <xf numFmtId="0" fontId="12" fillId="0" borderId="0" xfId="0" applyFont="1" applyAlignment="1">
      <alignment horizontal="center" vertical="top" wrapText="1"/>
    </xf>
    <xf numFmtId="0" fontId="3" fillId="0" borderId="1" xfId="0" applyFont="1" applyBorder="1" applyAlignment="1">
      <alignment horizontal="center" vertical="center" wrapText="1"/>
    </xf>
    <xf numFmtId="167" fontId="4" fillId="0" borderId="1" xfId="1" applyNumberFormat="1" applyFont="1" applyBorder="1" applyAlignment="1">
      <alignment horizontal="right" vertical="center" shrinkToFit="1"/>
    </xf>
    <xf numFmtId="0" fontId="4" fillId="0" borderId="1" xfId="0" applyFont="1" applyBorder="1" applyAlignment="1">
      <alignment vertical="center" wrapText="1"/>
    </xf>
    <xf numFmtId="0" fontId="60" fillId="0" borderId="0" xfId="0" applyFont="1" applyAlignment="1">
      <alignment horizontal="justify" vertical="top" wrapText="1"/>
    </xf>
    <xf numFmtId="169" fontId="13" fillId="0" borderId="0" xfId="1" applyNumberFormat="1" applyFont="1" applyAlignment="1">
      <alignment wrapText="1"/>
    </xf>
    <xf numFmtId="0" fontId="3" fillId="0" borderId="1" xfId="0" applyFont="1" applyBorder="1" applyAlignment="1">
      <alignment vertical="center" wrapText="1"/>
    </xf>
    <xf numFmtId="0" fontId="12" fillId="0" borderId="1" xfId="0" applyFont="1" applyBorder="1" applyAlignment="1">
      <alignment vertical="center" wrapText="1"/>
    </xf>
    <xf numFmtId="169" fontId="60" fillId="0" borderId="0" xfId="1" applyNumberFormat="1" applyFont="1" applyAlignment="1">
      <alignment vertical="top" wrapText="1"/>
    </xf>
    <xf numFmtId="169" fontId="60" fillId="3" borderId="0" xfId="1" applyNumberFormat="1" applyFont="1" applyFill="1" applyAlignment="1">
      <alignment vertical="top" wrapText="1"/>
    </xf>
    <xf numFmtId="0" fontId="3" fillId="0" borderId="1" xfId="0" quotePrefix="1" applyFont="1" applyBorder="1" applyAlignment="1">
      <alignment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167" fontId="12" fillId="0" borderId="1" xfId="1" applyNumberFormat="1" applyFont="1" applyBorder="1" applyAlignment="1">
      <alignment horizontal="right" vertical="center" shrinkToFit="1"/>
    </xf>
    <xf numFmtId="167" fontId="15" fillId="0" borderId="1" xfId="1" applyNumberFormat="1" applyFont="1" applyBorder="1" applyAlignment="1">
      <alignment horizontal="right" vertical="center" shrinkToFit="1"/>
    </xf>
    <xf numFmtId="0" fontId="12" fillId="0" borderId="1" xfId="0" applyFont="1" applyBorder="1" applyAlignment="1">
      <alignment horizontal="center" vertical="center" wrapText="1"/>
    </xf>
    <xf numFmtId="165" fontId="22" fillId="0" borderId="0" xfId="0" applyNumberFormat="1" applyFont="1" applyAlignment="1">
      <alignment vertical="center"/>
    </xf>
    <xf numFmtId="0" fontId="61" fillId="0" borderId="0" xfId="0" applyFont="1"/>
    <xf numFmtId="0" fontId="62" fillId="0" borderId="0" xfId="0" applyFont="1" applyAlignment="1">
      <alignment vertical="top" wrapText="1"/>
    </xf>
    <xf numFmtId="0" fontId="61" fillId="0" borderId="0" xfId="0" applyFont="1" applyAlignment="1">
      <alignment horizontal="right"/>
    </xf>
    <xf numFmtId="169" fontId="61" fillId="0" borderId="0" xfId="0" applyNumberFormat="1" applyFont="1"/>
    <xf numFmtId="169" fontId="61" fillId="0" borderId="0" xfId="1" applyNumberFormat="1" applyFont="1"/>
    <xf numFmtId="0" fontId="52" fillId="0" borderId="0" xfId="0" applyFont="1" applyAlignment="1">
      <alignment horizontal="center"/>
    </xf>
    <xf numFmtId="0" fontId="51" fillId="0" borderId="0" xfId="0" applyFont="1" applyAlignment="1">
      <alignment horizontal="right"/>
    </xf>
    <xf numFmtId="169" fontId="61" fillId="0" borderId="0" xfId="0" applyNumberFormat="1" applyFont="1" applyAlignment="1">
      <alignment horizontal="right"/>
    </xf>
    <xf numFmtId="0" fontId="52" fillId="0" borderId="1" xfId="0" applyFont="1" applyBorder="1" applyAlignment="1">
      <alignment horizontal="center" vertical="center" wrapText="1"/>
    </xf>
    <xf numFmtId="169" fontId="52" fillId="0" borderId="1" xfId="1" applyNumberFormat="1" applyFont="1" applyBorder="1" applyAlignment="1">
      <alignment horizontal="center" vertical="center" wrapText="1"/>
    </xf>
    <xf numFmtId="0" fontId="66" fillId="0" borderId="0" xfId="0" applyFont="1" applyAlignment="1">
      <alignment horizontal="center"/>
    </xf>
    <xf numFmtId="169" fontId="53" fillId="0" borderId="1" xfId="1" applyNumberFormat="1" applyFont="1" applyBorder="1" applyAlignment="1">
      <alignment horizontal="center" vertical="center" wrapText="1"/>
    </xf>
    <xf numFmtId="0" fontId="67" fillId="0" borderId="0" xfId="0" applyFont="1"/>
    <xf numFmtId="169" fontId="67" fillId="0" borderId="0" xfId="1" applyNumberFormat="1" applyFont="1"/>
    <xf numFmtId="0" fontId="56" fillId="0" borderId="1" xfId="0" applyFont="1" applyBorder="1" applyAlignment="1">
      <alignment vertical="center" wrapText="1"/>
    </xf>
    <xf numFmtId="0" fontId="51" fillId="0" borderId="1" xfId="0" applyFont="1" applyBorder="1" applyAlignment="1">
      <alignment horizontal="left" vertical="center" wrapText="1"/>
    </xf>
    <xf numFmtId="0" fontId="52" fillId="0" borderId="1" xfId="0" applyFont="1" applyBorder="1" applyAlignment="1">
      <alignment vertical="center" wrapText="1"/>
    </xf>
    <xf numFmtId="0" fontId="52" fillId="0" borderId="0" xfId="0" applyFont="1" applyAlignment="1">
      <alignment vertical="center" wrapText="1"/>
    </xf>
    <xf numFmtId="0" fontId="51" fillId="0" borderId="0" xfId="0" applyFont="1" applyAlignment="1">
      <alignment horizontal="right" vertical="center" wrapText="1"/>
    </xf>
    <xf numFmtId="169" fontId="52" fillId="0" borderId="0" xfId="1" applyNumberFormat="1" applyFont="1" applyBorder="1" applyAlignment="1">
      <alignment vertical="center" wrapText="1"/>
    </xf>
    <xf numFmtId="0" fontId="65" fillId="0" borderId="0" xfId="0" applyFont="1" applyAlignment="1">
      <alignment horizontal="center" vertical="top" wrapText="1"/>
    </xf>
    <xf numFmtId="0" fontId="38" fillId="0" borderId="0" xfId="0" applyFont="1" applyAlignment="1">
      <alignment horizontal="right"/>
    </xf>
    <xf numFmtId="169" fontId="38" fillId="0" borderId="0" xfId="0" applyNumberFormat="1" applyFont="1"/>
    <xf numFmtId="169" fontId="38" fillId="0" borderId="0" xfId="1" applyNumberFormat="1" applyFont="1"/>
    <xf numFmtId="0" fontId="68" fillId="0" borderId="0" xfId="0" applyFont="1" applyAlignment="1">
      <alignment horizontal="center" vertical="top" wrapText="1"/>
    </xf>
    <xf numFmtId="0" fontId="39" fillId="0" borderId="0" xfId="0" applyFont="1" applyAlignment="1">
      <alignment horizontal="center"/>
    </xf>
    <xf numFmtId="0" fontId="39" fillId="0" borderId="0" xfId="0" applyFont="1" applyAlignment="1">
      <alignment horizontal="right"/>
    </xf>
    <xf numFmtId="169" fontId="27" fillId="0" borderId="1" xfId="0" applyNumberFormat="1" applyFont="1" applyBorder="1" applyAlignment="1">
      <alignment horizontal="center" vertical="center"/>
    </xf>
    <xf numFmtId="169" fontId="27" fillId="0" borderId="1" xfId="0" applyNumberFormat="1" applyFont="1" applyBorder="1" applyAlignment="1">
      <alignment horizontal="right" vertical="center"/>
    </xf>
    <xf numFmtId="0" fontId="33" fillId="0" borderId="0" xfId="0" applyFont="1" applyAlignment="1">
      <alignment horizontal="center" vertical="center"/>
    </xf>
    <xf numFmtId="0" fontId="28" fillId="0" borderId="0" xfId="0" applyFont="1" applyAlignment="1">
      <alignment horizontal="center" vertical="center"/>
    </xf>
    <xf numFmtId="168" fontId="23" fillId="0" borderId="1" xfId="1" applyNumberFormat="1" applyFont="1" applyBorder="1" applyAlignment="1">
      <alignment horizontal="center" vertical="center" shrinkToFit="1"/>
    </xf>
    <xf numFmtId="164" fontId="21" fillId="0" borderId="1" xfId="0" applyNumberFormat="1" applyFont="1" applyBorder="1" applyAlignment="1">
      <alignment horizontal="center" vertical="center" shrinkToFit="1"/>
    </xf>
    <xf numFmtId="169" fontId="33" fillId="0" borderId="0" xfId="1" applyNumberFormat="1" applyFont="1" applyAlignment="1">
      <alignment vertical="center"/>
    </xf>
    <xf numFmtId="169" fontId="43" fillId="0" borderId="0" xfId="1" applyNumberFormat="1" applyFont="1" applyAlignment="1">
      <alignment vertical="center"/>
    </xf>
    <xf numFmtId="0" fontId="0" fillId="0" borderId="1" xfId="0" applyBorder="1"/>
    <xf numFmtId="0" fontId="72" fillId="0" borderId="1" xfId="0" applyFont="1" applyBorder="1"/>
    <xf numFmtId="167" fontId="73" fillId="4" borderId="1" xfId="1" applyNumberFormat="1" applyFont="1" applyFill="1" applyBorder="1" applyAlignment="1">
      <alignment horizontal="center" vertical="center" shrinkToFit="1"/>
    </xf>
    <xf numFmtId="167" fontId="74" fillId="4" borderId="1" xfId="1" applyNumberFormat="1" applyFont="1" applyFill="1" applyBorder="1" applyAlignment="1">
      <alignment horizontal="center" vertical="center" shrinkToFit="1"/>
    </xf>
    <xf numFmtId="167" fontId="72" fillId="0" borderId="1" xfId="0" applyNumberFormat="1" applyFont="1" applyBorder="1"/>
    <xf numFmtId="169" fontId="72" fillId="0" borderId="1" xfId="1" applyNumberFormat="1" applyFont="1" applyBorder="1"/>
    <xf numFmtId="0" fontId="0" fillId="0" borderId="1" xfId="0" applyBorder="1" applyAlignment="1">
      <alignment horizontal="center"/>
    </xf>
    <xf numFmtId="167" fontId="75" fillId="0" borderId="1" xfId="0" applyNumberFormat="1" applyFont="1" applyBorder="1"/>
    <xf numFmtId="0" fontId="76" fillId="0" borderId="1" xfId="0" applyFont="1" applyBorder="1" applyAlignment="1">
      <alignment horizontal="center"/>
    </xf>
    <xf numFmtId="0" fontId="76" fillId="0" borderId="1" xfId="0" applyFont="1" applyBorder="1"/>
    <xf numFmtId="167" fontId="76" fillId="0" borderId="1" xfId="0" applyNumberFormat="1" applyFont="1" applyBorder="1"/>
    <xf numFmtId="0" fontId="77" fillId="0" borderId="0" xfId="0" applyFont="1"/>
    <xf numFmtId="0" fontId="78" fillId="0" borderId="0" xfId="0" applyFont="1"/>
    <xf numFmtId="169" fontId="76" fillId="0" borderId="1" xfId="1" applyNumberFormat="1" applyFont="1" applyBorder="1"/>
    <xf numFmtId="169" fontId="44" fillId="0" borderId="0" xfId="1" applyNumberFormat="1" applyFont="1" applyBorder="1" applyAlignment="1">
      <alignment vertical="center"/>
    </xf>
    <xf numFmtId="169" fontId="45" fillId="0" borderId="0" xfId="1" applyNumberFormat="1" applyFont="1" applyBorder="1" applyAlignment="1">
      <alignment vertical="center"/>
    </xf>
    <xf numFmtId="169" fontId="33" fillId="0" borderId="0" xfId="1" applyNumberFormat="1" applyFont="1" applyBorder="1" applyAlignment="1">
      <alignment vertical="center"/>
    </xf>
    <xf numFmtId="169" fontId="33" fillId="0" borderId="0" xfId="0" applyNumberFormat="1" applyFont="1" applyAlignment="1">
      <alignment vertical="center"/>
    </xf>
    <xf numFmtId="164" fontId="27" fillId="0" borderId="1" xfId="1" applyFont="1" applyBorder="1" applyAlignment="1">
      <alignment horizontal="right" vertical="center"/>
    </xf>
    <xf numFmtId="164" fontId="21" fillId="0" borderId="1" xfId="1" applyFont="1" applyBorder="1" applyAlignment="1">
      <alignment horizontal="right" vertical="center" shrinkToFit="1"/>
    </xf>
    <xf numFmtId="164" fontId="23" fillId="0" borderId="1" xfId="1" applyFont="1" applyBorder="1" applyAlignment="1">
      <alignment horizontal="right" vertical="center" shrinkToFit="1"/>
    </xf>
    <xf numFmtId="164" fontId="58" fillId="0" borderId="1" xfId="1" applyFont="1" applyBorder="1" applyAlignment="1">
      <alignment horizontal="right" vertical="center"/>
    </xf>
    <xf numFmtId="164" fontId="22" fillId="0" borderId="1" xfId="1" applyFont="1" applyBorder="1" applyAlignment="1">
      <alignment horizontal="right" vertical="center"/>
    </xf>
    <xf numFmtId="164" fontId="48" fillId="0" borderId="1" xfId="1" applyFont="1" applyBorder="1" applyAlignment="1">
      <alignment horizontal="right" vertical="center" shrinkToFit="1"/>
    </xf>
    <xf numFmtId="164" fontId="49" fillId="0" borderId="1" xfId="1" applyFont="1" applyBorder="1" applyAlignment="1">
      <alignment horizontal="right" vertical="center"/>
    </xf>
    <xf numFmtId="164" fontId="21" fillId="0" borderId="1" xfId="1" applyFont="1" applyBorder="1" applyAlignment="1">
      <alignment horizontal="center" vertical="center" shrinkToFit="1"/>
    </xf>
    <xf numFmtId="164" fontId="23" fillId="0" borderId="1" xfId="1" applyFont="1" applyBorder="1" applyAlignment="1">
      <alignment horizontal="center" vertical="center" shrinkToFit="1"/>
    </xf>
    <xf numFmtId="169" fontId="28" fillId="0" borderId="0" xfId="0" applyNumberFormat="1" applyFont="1" applyAlignment="1">
      <alignment vertical="center"/>
    </xf>
    <xf numFmtId="3" fontId="52" fillId="0" borderId="1" xfId="1" applyNumberFormat="1" applyFont="1" applyBorder="1" applyAlignment="1">
      <alignment horizontal="right" vertical="center" shrinkToFit="1"/>
    </xf>
    <xf numFmtId="172" fontId="52" fillId="0" borderId="1" xfId="1" applyNumberFormat="1" applyFont="1" applyBorder="1" applyAlignment="1">
      <alignment horizontal="right" vertical="center" shrinkToFit="1"/>
    </xf>
    <xf numFmtId="3" fontId="56" fillId="0" borderId="1" xfId="1" applyNumberFormat="1" applyFont="1" applyFill="1" applyBorder="1" applyAlignment="1">
      <alignment horizontal="right" vertical="center" shrinkToFit="1"/>
    </xf>
    <xf numFmtId="172" fontId="51" fillId="0" borderId="1" xfId="1" applyNumberFormat="1" applyFont="1" applyBorder="1" applyAlignment="1">
      <alignment horizontal="right" vertical="center" shrinkToFit="1"/>
    </xf>
    <xf numFmtId="3" fontId="51" fillId="0" borderId="1" xfId="1" applyNumberFormat="1" applyFont="1" applyBorder="1" applyAlignment="1">
      <alignment horizontal="right" vertical="center" shrinkToFit="1"/>
    </xf>
    <xf numFmtId="172" fontId="51" fillId="0" borderId="1" xfId="1" applyNumberFormat="1" applyFont="1" applyFill="1" applyBorder="1" applyAlignment="1">
      <alignment horizontal="right" vertical="center" shrinkToFit="1"/>
    </xf>
    <xf numFmtId="172" fontId="56" fillId="0" borderId="1" xfId="1" applyNumberFormat="1" applyFont="1" applyFill="1" applyBorder="1" applyAlignment="1">
      <alignment horizontal="right" vertical="center" shrinkToFit="1"/>
    </xf>
    <xf numFmtId="3" fontId="52" fillId="0" borderId="1" xfId="0" applyNumberFormat="1" applyFont="1" applyBorder="1" applyAlignment="1">
      <alignment vertical="center" shrinkToFit="1"/>
    </xf>
    <xf numFmtId="3" fontId="52" fillId="0" borderId="1" xfId="0" applyNumberFormat="1" applyFont="1" applyBorder="1" applyAlignment="1">
      <alignment horizontal="right" vertical="center" shrinkToFit="1"/>
    </xf>
    <xf numFmtId="3" fontId="51" fillId="0" borderId="1" xfId="0" applyNumberFormat="1" applyFont="1" applyBorder="1" applyAlignment="1">
      <alignment horizontal="right" vertical="center" shrinkToFit="1"/>
    </xf>
    <xf numFmtId="164" fontId="4" fillId="0" borderId="1" xfId="1" applyFont="1" applyBorder="1" applyAlignment="1">
      <alignment horizontal="right" vertical="center" shrinkToFit="1"/>
    </xf>
    <xf numFmtId="167" fontId="4" fillId="0" borderId="1" xfId="1" applyNumberFormat="1" applyFont="1" applyFill="1" applyBorder="1" applyAlignment="1">
      <alignment horizontal="right" vertical="center" shrinkToFit="1"/>
    </xf>
    <xf numFmtId="167" fontId="50" fillId="0" borderId="1" xfId="1" applyNumberFormat="1" applyFont="1" applyFill="1" applyBorder="1" applyAlignment="1">
      <alignment horizontal="right" vertical="center" shrinkToFit="1"/>
    </xf>
    <xf numFmtId="164" fontId="4" fillId="0" borderId="1" xfId="1" applyFont="1" applyFill="1" applyBorder="1" applyAlignment="1">
      <alignment horizontal="right" vertical="center" shrinkToFit="1"/>
    </xf>
    <xf numFmtId="167" fontId="3" fillId="0" borderId="1" xfId="1" applyNumberFormat="1" applyFont="1" applyFill="1" applyBorder="1" applyAlignment="1">
      <alignment horizontal="right" vertical="center" shrinkToFit="1"/>
    </xf>
    <xf numFmtId="164" fontId="56" fillId="0" borderId="1" xfId="1" applyFont="1" applyFill="1" applyBorder="1" applyAlignment="1">
      <alignment horizontal="right" vertical="center" shrinkToFit="1"/>
    </xf>
    <xf numFmtId="164" fontId="3" fillId="0" borderId="1" xfId="1" applyFont="1" applyFill="1" applyBorder="1" applyAlignment="1">
      <alignment horizontal="right" vertical="center" shrinkToFit="1"/>
    </xf>
    <xf numFmtId="167" fontId="79" fillId="0" borderId="1" xfId="1" applyNumberFormat="1" applyFont="1" applyFill="1" applyBorder="1" applyAlignment="1">
      <alignment horizontal="right" vertical="center" shrinkToFit="1"/>
    </xf>
    <xf numFmtId="167" fontId="12" fillId="0" borderId="1" xfId="1" applyNumberFormat="1" applyFont="1" applyFill="1" applyBorder="1" applyAlignment="1">
      <alignment horizontal="right" vertical="center" shrinkToFit="1"/>
    </xf>
    <xf numFmtId="167" fontId="15" fillId="0" borderId="1" xfId="1" applyNumberFormat="1" applyFont="1" applyFill="1" applyBorder="1" applyAlignment="1">
      <alignment horizontal="right" vertical="center" shrinkToFit="1"/>
    </xf>
    <xf numFmtId="164" fontId="15" fillId="0" borderId="1" xfId="1" applyFont="1" applyFill="1" applyBorder="1" applyAlignment="1">
      <alignment horizontal="right" vertical="center" shrinkToFit="1"/>
    </xf>
    <xf numFmtId="164" fontId="15" fillId="0" borderId="1" xfId="1" applyFont="1" applyBorder="1" applyAlignment="1">
      <alignment horizontal="right" vertical="center" shrinkToFit="1"/>
    </xf>
    <xf numFmtId="3" fontId="15" fillId="0" borderId="1" xfId="11" applyNumberFormat="1" applyFont="1" applyBorder="1" applyAlignment="1">
      <alignment horizontal="center" vertical="center"/>
    </xf>
    <xf numFmtId="0" fontId="3" fillId="0" borderId="1" xfId="0" applyFont="1" applyBorder="1" applyAlignment="1">
      <alignment vertical="center" shrinkToFit="1"/>
    </xf>
    <xf numFmtId="164" fontId="3" fillId="0" borderId="1" xfId="1" applyFont="1" applyBorder="1" applyAlignment="1">
      <alignment horizontal="right" vertical="center" shrinkToFit="1"/>
    </xf>
    <xf numFmtId="0" fontId="11" fillId="0" borderId="1" xfId="0" applyFont="1" applyBorder="1" applyAlignment="1">
      <alignment vertical="center" wrapText="1"/>
    </xf>
    <xf numFmtId="0" fontId="4" fillId="0" borderId="1" xfId="0" applyFont="1" applyBorder="1" applyAlignment="1">
      <alignment vertical="center" shrinkToFit="1"/>
    </xf>
    <xf numFmtId="0" fontId="12" fillId="0" borderId="3" xfId="0" applyFont="1" applyBorder="1" applyAlignment="1">
      <alignment vertical="center" wrapText="1"/>
    </xf>
    <xf numFmtId="167" fontId="3" fillId="0" borderId="1" xfId="1" applyNumberFormat="1" applyFont="1" applyBorder="1" applyAlignment="1">
      <alignment vertical="center" shrinkToFit="1"/>
    </xf>
    <xf numFmtId="167" fontId="3" fillId="0" borderId="1" xfId="1" applyNumberFormat="1" applyFont="1" applyFill="1" applyBorder="1" applyAlignment="1">
      <alignment vertical="center" shrinkToFit="1"/>
    </xf>
    <xf numFmtId="0" fontId="0" fillId="2" borderId="1" xfId="0" applyFill="1" applyBorder="1"/>
    <xf numFmtId="0" fontId="0" fillId="2" borderId="1" xfId="0" applyFill="1" applyBorder="1" applyAlignment="1">
      <alignment horizontal="center"/>
    </xf>
    <xf numFmtId="167" fontId="75" fillId="2" borderId="1" xfId="0" applyNumberFormat="1" applyFont="1" applyFill="1" applyBorder="1"/>
    <xf numFmtId="0" fontId="72" fillId="2" borderId="1" xfId="0" applyFont="1" applyFill="1" applyBorder="1"/>
    <xf numFmtId="167" fontId="73" fillId="2" borderId="1" xfId="1" applyNumberFormat="1" applyFont="1" applyFill="1" applyBorder="1" applyAlignment="1">
      <alignment horizontal="center" vertical="center" shrinkToFit="1"/>
    </xf>
    <xf numFmtId="167" fontId="74" fillId="2" borderId="1" xfId="1" applyNumberFormat="1" applyFont="1" applyFill="1" applyBorder="1" applyAlignment="1">
      <alignment horizontal="center" vertical="center" shrinkToFit="1"/>
    </xf>
    <xf numFmtId="167" fontId="72" fillId="2" borderId="1" xfId="0" applyNumberFormat="1" applyFont="1" applyFill="1" applyBorder="1"/>
    <xf numFmtId="169" fontId="72" fillId="2" borderId="1" xfId="1" applyNumberFormat="1" applyFont="1" applyFill="1" applyBorder="1"/>
    <xf numFmtId="0" fontId="76" fillId="2" borderId="1" xfId="0" applyFont="1" applyFill="1" applyBorder="1" applyAlignment="1">
      <alignment horizontal="center"/>
    </xf>
    <xf numFmtId="167" fontId="76" fillId="2" borderId="1" xfId="0" applyNumberFormat="1" applyFont="1" applyFill="1" applyBorder="1"/>
    <xf numFmtId="169" fontId="76" fillId="2" borderId="1" xfId="1" applyNumberFormat="1" applyFont="1" applyFill="1" applyBorder="1"/>
    <xf numFmtId="0" fontId="0" fillId="0" borderId="0" xfId="0" applyAlignment="1">
      <alignment horizontal="right"/>
    </xf>
    <xf numFmtId="0" fontId="0" fillId="2" borderId="0" xfId="0" applyFill="1" applyAlignment="1">
      <alignment horizontal="right"/>
    </xf>
    <xf numFmtId="0" fontId="77" fillId="0" borderId="0" xfId="0" applyFont="1" applyAlignment="1">
      <alignment horizontal="right"/>
    </xf>
    <xf numFmtId="169" fontId="80" fillId="0" borderId="1" xfId="1" applyNumberFormat="1" applyFont="1" applyBorder="1"/>
    <xf numFmtId="167" fontId="80" fillId="0" borderId="1" xfId="0" applyNumberFormat="1" applyFont="1" applyBorder="1"/>
    <xf numFmtId="0" fontId="80" fillId="0" borderId="1" xfId="0" applyFont="1" applyBorder="1" applyAlignment="1">
      <alignment horizontal="center"/>
    </xf>
    <xf numFmtId="167" fontId="43" fillId="0" borderId="0" xfId="0" applyNumberFormat="1" applyFont="1"/>
    <xf numFmtId="0" fontId="0" fillId="4" borderId="1" xfId="0" applyFill="1" applyBorder="1"/>
    <xf numFmtId="0" fontId="0" fillId="4" borderId="1" xfId="0" applyFill="1" applyBorder="1" applyAlignment="1">
      <alignment horizontal="center"/>
    </xf>
    <xf numFmtId="167" fontId="75" fillId="4" borderId="1" xfId="0" applyNumberFormat="1" applyFont="1" applyFill="1" applyBorder="1"/>
    <xf numFmtId="0" fontId="72" fillId="4" borderId="1" xfId="0" applyFont="1" applyFill="1" applyBorder="1"/>
    <xf numFmtId="167" fontId="72" fillId="4" borderId="1" xfId="0" applyNumberFormat="1" applyFont="1" applyFill="1" applyBorder="1"/>
    <xf numFmtId="169" fontId="72" fillId="4" borderId="1" xfId="1" applyNumberFormat="1" applyFont="1" applyFill="1" applyBorder="1"/>
    <xf numFmtId="167" fontId="81" fillId="0" borderId="0" xfId="0" applyNumberFormat="1" applyFont="1" applyAlignment="1">
      <alignment vertical="center"/>
    </xf>
    <xf numFmtId="0" fontId="81" fillId="0" borderId="0" xfId="0" applyFont="1" applyAlignment="1">
      <alignment vertical="center"/>
    </xf>
    <xf numFmtId="169" fontId="81" fillId="0" borderId="0" xfId="1" applyNumberFormat="1" applyFont="1" applyAlignment="1">
      <alignment vertical="center"/>
    </xf>
    <xf numFmtId="3" fontId="4" fillId="0" borderId="1" xfId="11" applyNumberFormat="1" applyFont="1" applyBorder="1" applyAlignment="1">
      <alignment horizontal="center" vertical="center" wrapText="1"/>
    </xf>
    <xf numFmtId="173" fontId="4" fillId="0" borderId="1" xfId="11" applyNumberFormat="1" applyFont="1" applyBorder="1" applyAlignment="1">
      <alignment horizontal="center" vertical="center" wrapText="1"/>
    </xf>
    <xf numFmtId="0" fontId="79" fillId="0" borderId="1" xfId="0" applyFont="1" applyBorder="1" applyAlignment="1">
      <alignment horizontal="center" vertical="center" wrapText="1"/>
    </xf>
    <xf numFmtId="0" fontId="79" fillId="0" borderId="1" xfId="0" applyFont="1" applyBorder="1" applyAlignment="1">
      <alignment vertical="center" wrapText="1"/>
    </xf>
    <xf numFmtId="167" fontId="79" fillId="0" borderId="1" xfId="1" applyNumberFormat="1" applyFont="1" applyBorder="1" applyAlignment="1">
      <alignment horizontal="right" vertical="center" shrinkToFit="1"/>
    </xf>
    <xf numFmtId="0" fontId="82" fillId="0" borderId="0" xfId="0" applyFont="1" applyAlignment="1">
      <alignment vertical="center"/>
    </xf>
    <xf numFmtId="167" fontId="82" fillId="0" borderId="0" xfId="0" applyNumberFormat="1" applyFont="1" applyAlignment="1">
      <alignment vertical="center"/>
    </xf>
    <xf numFmtId="169" fontId="82" fillId="0" borderId="0" xfId="1" applyNumberFormat="1" applyFont="1" applyAlignment="1">
      <alignment vertical="center"/>
    </xf>
    <xf numFmtId="169" fontId="33" fillId="0" borderId="0" xfId="1" applyNumberFormat="1" applyFont="1" applyAlignment="1">
      <alignment horizontal="center" vertical="center"/>
    </xf>
    <xf numFmtId="169" fontId="33" fillId="0" borderId="0" xfId="0" applyNumberFormat="1" applyFont="1" applyAlignment="1">
      <alignment horizontal="center" vertical="center"/>
    </xf>
    <xf numFmtId="169" fontId="43" fillId="0" borderId="0" xfId="0" applyNumberFormat="1" applyFont="1" applyAlignment="1">
      <alignment vertical="center"/>
    </xf>
    <xf numFmtId="169" fontId="58" fillId="0" borderId="1" xfId="0" applyNumberFormat="1" applyFont="1" applyBorder="1" applyAlignment="1">
      <alignment horizontal="center" vertical="center"/>
    </xf>
    <xf numFmtId="169" fontId="24" fillId="0" borderId="1" xfId="1" applyNumberFormat="1" applyFont="1" applyBorder="1" applyAlignment="1">
      <alignment horizontal="center" vertical="center" wrapText="1"/>
    </xf>
    <xf numFmtId="169" fontId="83" fillId="0" borderId="0" xfId="1" applyNumberFormat="1" applyFont="1" applyBorder="1" applyAlignment="1">
      <alignment vertical="center"/>
    </xf>
    <xf numFmtId="0" fontId="84" fillId="0" borderId="0" xfId="0" applyFont="1" applyAlignment="1">
      <alignment vertical="center"/>
    </xf>
    <xf numFmtId="169" fontId="44" fillId="0" borderId="0" xfId="0" applyNumberFormat="1" applyFont="1" applyAlignment="1">
      <alignment vertical="center"/>
    </xf>
    <xf numFmtId="169" fontId="43" fillId="0" borderId="0" xfId="1" applyNumberFormat="1" applyFont="1"/>
    <xf numFmtId="169" fontId="43" fillId="0" borderId="0" xfId="0" applyNumberFormat="1" applyFont="1"/>
    <xf numFmtId="0" fontId="83" fillId="0" borderId="1" xfId="0" applyFont="1" applyBorder="1" applyAlignment="1">
      <alignment vertical="center"/>
    </xf>
    <xf numFmtId="169" fontId="83" fillId="0" borderId="1" xfId="1" applyNumberFormat="1" applyFont="1" applyBorder="1" applyAlignment="1">
      <alignment vertical="center"/>
    </xf>
    <xf numFmtId="0" fontId="45" fillId="0" borderId="1" xfId="0" applyFont="1" applyBorder="1" applyAlignment="1">
      <alignment vertical="center"/>
    </xf>
    <xf numFmtId="169" fontId="33" fillId="0" borderId="1" xfId="0" applyNumberFormat="1" applyFont="1" applyBorder="1" applyAlignment="1">
      <alignment vertical="center"/>
    </xf>
    <xf numFmtId="169" fontId="33" fillId="0" borderId="1" xfId="1" applyNumberFormat="1" applyFont="1" applyBorder="1" applyAlignment="1">
      <alignment vertical="center"/>
    </xf>
    <xf numFmtId="169" fontId="0" fillId="0" borderId="0" xfId="0" applyNumberFormat="1"/>
    <xf numFmtId="0" fontId="85" fillId="2" borderId="1" xfId="0" applyFont="1" applyFill="1" applyBorder="1"/>
    <xf numFmtId="169" fontId="85" fillId="2" borderId="1" xfId="0" applyNumberFormat="1" applyFont="1" applyFill="1" applyBorder="1"/>
    <xf numFmtId="0" fontId="43" fillId="0" borderId="1" xfId="0" applyFont="1" applyBorder="1"/>
    <xf numFmtId="169" fontId="43" fillId="0" borderId="1" xfId="1" applyNumberFormat="1" applyFont="1" applyBorder="1"/>
    <xf numFmtId="0" fontId="61" fillId="0" borderId="1" xfId="0" applyFont="1" applyBorder="1" applyAlignment="1">
      <alignment horizontal="left" vertical="center" wrapText="1"/>
    </xf>
    <xf numFmtId="167" fontId="78" fillId="0" borderId="0" xfId="0" applyNumberFormat="1" applyFont="1"/>
    <xf numFmtId="0" fontId="39" fillId="0" borderId="0" xfId="0" applyFont="1" applyAlignment="1">
      <alignment horizontal="center" wrapText="1"/>
    </xf>
    <xf numFmtId="169" fontId="26" fillId="0" borderId="1" xfId="1" applyNumberFormat="1" applyFont="1" applyBorder="1" applyAlignment="1"/>
    <xf numFmtId="0" fontId="26" fillId="0" borderId="0" xfId="0" applyFont="1"/>
    <xf numFmtId="169" fontId="26" fillId="0" borderId="0" xfId="1" applyNumberFormat="1" applyFont="1" applyAlignment="1"/>
    <xf numFmtId="169" fontId="30" fillId="0" borderId="0" xfId="1" applyNumberFormat="1" applyFont="1" applyAlignment="1">
      <alignment horizontal="center"/>
    </xf>
    <xf numFmtId="0" fontId="36" fillId="0" borderId="0" xfId="0" applyFont="1" applyAlignment="1">
      <alignment horizontal="center"/>
    </xf>
    <xf numFmtId="0" fontId="37" fillId="0" borderId="0" xfId="0" applyFont="1" applyAlignment="1">
      <alignment horizontal="center"/>
    </xf>
    <xf numFmtId="0" fontId="35" fillId="0" borderId="0" xfId="0" applyFont="1" applyAlignment="1">
      <alignment horizontal="center" wrapText="1"/>
    </xf>
    <xf numFmtId="167" fontId="3" fillId="0" borderId="3" xfId="1" applyNumberFormat="1" applyFont="1" applyFill="1" applyBorder="1" applyAlignment="1">
      <alignment horizontal="center" vertical="center" shrinkToFit="1"/>
    </xf>
    <xf numFmtId="0" fontId="30" fillId="0" borderId="0" xfId="0" applyFont="1" applyAlignment="1">
      <alignment horizontal="center"/>
    </xf>
    <xf numFmtId="167" fontId="4" fillId="0" borderId="0" xfId="1" applyNumberFormat="1" applyFont="1" applyBorder="1" applyAlignment="1">
      <alignment horizontal="right" vertical="center" shrinkToFit="1"/>
    </xf>
    <xf numFmtId="164" fontId="4" fillId="0" borderId="0" xfId="1" applyFont="1" applyBorder="1" applyAlignment="1">
      <alignment horizontal="right" vertical="center" shrinkToFit="1"/>
    </xf>
    <xf numFmtId="173" fontId="4" fillId="0" borderId="0" xfId="11" applyNumberFormat="1" applyFont="1" applyAlignment="1">
      <alignment horizontal="center" vertical="center" wrapText="1"/>
    </xf>
    <xf numFmtId="3" fontId="15" fillId="0" borderId="0" xfId="11" applyNumberFormat="1" applyFont="1" applyAlignment="1">
      <alignment horizontal="center" vertical="center"/>
    </xf>
    <xf numFmtId="167" fontId="3" fillId="0" borderId="0" xfId="1" applyNumberFormat="1" applyFont="1" applyFill="1" applyBorder="1" applyAlignment="1">
      <alignment horizontal="right" vertical="center" shrinkToFit="1"/>
    </xf>
    <xf numFmtId="167" fontId="3" fillId="0" borderId="0" xfId="1" applyNumberFormat="1" applyFont="1" applyBorder="1" applyAlignment="1">
      <alignment horizontal="right" vertical="center" shrinkToFit="1"/>
    </xf>
    <xf numFmtId="164" fontId="3" fillId="0" borderId="0" xfId="1" applyFont="1" applyBorder="1" applyAlignment="1">
      <alignment horizontal="right" vertical="center" shrinkToFit="1"/>
    </xf>
    <xf numFmtId="164" fontId="3" fillId="0" borderId="0" xfId="1" applyFont="1" applyFill="1" applyBorder="1" applyAlignment="1">
      <alignment horizontal="right" vertical="center" shrinkToFit="1"/>
    </xf>
    <xf numFmtId="169" fontId="42" fillId="2" borderId="0" xfId="1" applyNumberFormat="1" applyFont="1" applyFill="1" applyAlignment="1">
      <alignment vertical="center"/>
    </xf>
    <xf numFmtId="167" fontId="27" fillId="0" borderId="1" xfId="0" applyNumberFormat="1" applyFont="1" applyBorder="1" applyAlignment="1">
      <alignment vertical="center"/>
    </xf>
    <xf numFmtId="167" fontId="41" fillId="0" borderId="1" xfId="0" applyNumberFormat="1" applyFont="1" applyBorder="1" applyAlignment="1">
      <alignment vertical="center"/>
    </xf>
    <xf numFmtId="169" fontId="27" fillId="0" borderId="1" xfId="1" applyNumberFormat="1" applyFont="1" applyBorder="1" applyAlignment="1">
      <alignment vertical="center"/>
    </xf>
    <xf numFmtId="169" fontId="27" fillId="0" borderId="1" xfId="0" applyNumberFormat="1" applyFont="1" applyBorder="1" applyAlignment="1">
      <alignment vertical="center"/>
    </xf>
    <xf numFmtId="169" fontId="41" fillId="0" borderId="1" xfId="1" applyNumberFormat="1" applyFont="1" applyBorder="1" applyAlignment="1">
      <alignment vertical="center"/>
    </xf>
    <xf numFmtId="171" fontId="41" fillId="0" borderId="1" xfId="0" applyNumberFormat="1" applyFont="1" applyBorder="1" applyAlignment="1">
      <alignment vertical="center"/>
    </xf>
    <xf numFmtId="171" fontId="27" fillId="0" borderId="1" xfId="0" applyNumberFormat="1" applyFont="1" applyBorder="1" applyAlignment="1">
      <alignment vertical="center"/>
    </xf>
    <xf numFmtId="164" fontId="22" fillId="0" borderId="0" xfId="1" applyFont="1" applyAlignment="1">
      <alignment vertical="center"/>
    </xf>
    <xf numFmtId="167" fontId="22" fillId="0" borderId="1" xfId="0" applyNumberFormat="1" applyFont="1" applyBorder="1" applyAlignment="1">
      <alignment vertical="center"/>
    </xf>
    <xf numFmtId="169" fontId="22" fillId="0" borderId="1" xfId="1" applyNumberFormat="1" applyFont="1" applyBorder="1" applyAlignment="1">
      <alignment vertical="center"/>
    </xf>
    <xf numFmtId="167" fontId="79" fillId="0" borderId="0" xfId="1" applyNumberFormat="1" applyFont="1" applyBorder="1" applyAlignment="1">
      <alignment horizontal="right" vertical="center" shrinkToFit="1"/>
    </xf>
    <xf numFmtId="169" fontId="82" fillId="0" borderId="1" xfId="1" applyNumberFormat="1" applyFont="1" applyBorder="1" applyAlignment="1">
      <alignment vertical="center"/>
    </xf>
    <xf numFmtId="167" fontId="82" fillId="0" borderId="1" xfId="0" applyNumberFormat="1" applyFont="1" applyBorder="1" applyAlignment="1">
      <alignment vertical="center"/>
    </xf>
    <xf numFmtId="167" fontId="3" fillId="0" borderId="0" xfId="1" applyNumberFormat="1" applyFont="1" applyBorder="1" applyAlignment="1">
      <alignment vertical="center" shrinkToFit="1"/>
    </xf>
    <xf numFmtId="0" fontId="56" fillId="0" borderId="1" xfId="0" applyFont="1" applyBorder="1" applyAlignment="1">
      <alignment horizontal="left" vertical="center" wrapText="1"/>
    </xf>
    <xf numFmtId="167" fontId="56" fillId="0" borderId="1" xfId="1" applyNumberFormat="1" applyFont="1" applyFill="1" applyBorder="1" applyAlignment="1">
      <alignment horizontal="left" vertical="center" wrapText="1"/>
    </xf>
    <xf numFmtId="0" fontId="24" fillId="0" borderId="1" xfId="0" applyFont="1" applyBorder="1" applyAlignment="1">
      <alignment vertical="center"/>
    </xf>
    <xf numFmtId="0" fontId="22" fillId="0" borderId="1" xfId="0" quotePrefix="1" applyFont="1" applyBorder="1" applyAlignment="1">
      <alignment horizontal="center" vertical="center"/>
    </xf>
    <xf numFmtId="3" fontId="23" fillId="0" borderId="1" xfId="1" applyNumberFormat="1" applyFont="1" applyFill="1" applyBorder="1" applyAlignment="1">
      <alignment horizontal="right" vertical="center" shrinkToFit="1"/>
    </xf>
    <xf numFmtId="3" fontId="22" fillId="0" borderId="1" xfId="1" applyNumberFormat="1" applyFont="1" applyBorder="1" applyAlignment="1">
      <alignment horizontal="right" vertical="center" shrinkToFit="1"/>
    </xf>
    <xf numFmtId="3" fontId="21" fillId="0" borderId="1" xfId="0" applyNumberFormat="1" applyFont="1" applyBorder="1" applyAlignment="1">
      <alignment horizontal="right" vertical="center" shrinkToFit="1"/>
    </xf>
    <xf numFmtId="3" fontId="22" fillId="0" borderId="1" xfId="0" applyNumberFormat="1" applyFont="1" applyBorder="1" applyAlignment="1">
      <alignment horizontal="right" vertical="center" shrinkToFit="1"/>
    </xf>
    <xf numFmtId="169" fontId="65" fillId="0" borderId="0" xfId="1" applyNumberFormat="1" applyFont="1" applyAlignment="1">
      <alignment vertical="top" wrapText="1"/>
    </xf>
    <xf numFmtId="169" fontId="62" fillId="0" borderId="0" xfId="1" applyNumberFormat="1" applyFont="1" applyAlignment="1">
      <alignment vertical="center" wrapText="1"/>
    </xf>
    <xf numFmtId="169" fontId="67" fillId="0" borderId="0" xfId="1" applyNumberFormat="1" applyFont="1" applyAlignment="1"/>
    <xf numFmtId="169" fontId="39" fillId="0" borderId="0" xfId="1" applyNumberFormat="1" applyFont="1" applyAlignment="1"/>
    <xf numFmtId="169" fontId="31" fillId="0" borderId="0" xfId="1" applyNumberFormat="1" applyFont="1"/>
    <xf numFmtId="0" fontId="61" fillId="0" borderId="1" xfId="0" applyFont="1" applyBorder="1"/>
    <xf numFmtId="169" fontId="61" fillId="0" borderId="1" xfId="1" applyNumberFormat="1" applyFont="1" applyBorder="1"/>
    <xf numFmtId="0" fontId="61" fillId="0" borderId="0" xfId="0" applyFont="1" applyAlignment="1">
      <alignment horizontal="center"/>
    </xf>
    <xf numFmtId="169" fontId="61" fillId="0" borderId="0" xfId="0" applyNumberFormat="1" applyFont="1" applyAlignment="1">
      <alignment horizontal="center"/>
    </xf>
    <xf numFmtId="0" fontId="29" fillId="0" borderId="1" xfId="0" applyFont="1" applyBorder="1" applyAlignment="1">
      <alignment horizontal="center" vertical="center" wrapText="1"/>
    </xf>
    <xf numFmtId="0" fontId="86" fillId="0" borderId="0" xfId="0" applyFont="1" applyAlignment="1">
      <alignment vertical="center"/>
    </xf>
    <xf numFmtId="0" fontId="87" fillId="0" borderId="1" xfId="0" applyFont="1" applyBorder="1" applyAlignment="1">
      <alignment horizontal="center" vertical="center" wrapText="1"/>
    </xf>
    <xf numFmtId="0" fontId="87" fillId="0" borderId="1" xfId="0" quotePrefix="1" applyFont="1" applyBorder="1" applyAlignment="1">
      <alignment horizontal="center" vertical="center" wrapText="1"/>
    </xf>
    <xf numFmtId="0" fontId="35" fillId="0" borderId="1" xfId="0" applyFont="1" applyBorder="1" applyAlignment="1">
      <alignment vertical="center"/>
    </xf>
    <xf numFmtId="0" fontId="26" fillId="0" borderId="1" xfId="0" quotePrefix="1" applyFont="1" applyBorder="1" applyAlignment="1">
      <alignment horizontal="center" vertical="center"/>
    </xf>
    <xf numFmtId="0" fontId="89" fillId="0" borderId="0" xfId="0" applyFont="1" applyAlignment="1">
      <alignment horizontal="center" vertical="top" wrapText="1"/>
    </xf>
    <xf numFmtId="0" fontId="90" fillId="0" borderId="0" xfId="0" applyFont="1" applyAlignment="1">
      <alignment horizontal="center"/>
    </xf>
    <xf numFmtId="0" fontId="90" fillId="0" borderId="0" xfId="0" applyFont="1"/>
    <xf numFmtId="3" fontId="89" fillId="0" borderId="1" xfId="1" applyNumberFormat="1" applyFont="1" applyBorder="1" applyAlignment="1">
      <alignment horizontal="right" vertical="center" shrinkToFit="1"/>
    </xf>
    <xf numFmtId="0" fontId="89" fillId="0" borderId="0" xfId="0" applyFont="1" applyAlignment="1">
      <alignment vertical="center"/>
    </xf>
    <xf numFmtId="169" fontId="89" fillId="0" borderId="1" xfId="1" applyNumberFormat="1" applyFont="1" applyBorder="1" applyAlignment="1">
      <alignment horizontal="center" vertical="center" wrapText="1"/>
    </xf>
    <xf numFmtId="169" fontId="89" fillId="0" borderId="0" xfId="1" applyNumberFormat="1" applyFont="1" applyAlignment="1">
      <alignment vertical="center"/>
    </xf>
    <xf numFmtId="0" fontId="56" fillId="0" borderId="0" xfId="0" applyFont="1"/>
    <xf numFmtId="0" fontId="82" fillId="0" borderId="0" xfId="0" applyFont="1" applyAlignment="1">
      <alignment horizontal="center" vertical="top" wrapText="1"/>
    </xf>
    <xf numFmtId="0" fontId="90" fillId="0" borderId="0" xfId="0" applyFont="1" applyAlignment="1">
      <alignment horizontal="right"/>
    </xf>
    <xf numFmtId="169" fontId="90" fillId="0" borderId="0" xfId="0" applyNumberFormat="1" applyFont="1"/>
    <xf numFmtId="0" fontId="89" fillId="0" borderId="0" xfId="0" applyFont="1" applyAlignment="1">
      <alignment horizontal="center"/>
    </xf>
    <xf numFmtId="0" fontId="89" fillId="0" borderId="1" xfId="0" applyFont="1" applyBorder="1" applyAlignment="1">
      <alignment horizontal="center" vertical="center" wrapText="1"/>
    </xf>
    <xf numFmtId="0" fontId="5" fillId="0" borderId="0" xfId="0" applyFont="1" applyAlignment="1">
      <alignment vertical="center"/>
    </xf>
    <xf numFmtId="0" fontId="95" fillId="0" borderId="1" xfId="0" applyFont="1" applyBorder="1" applyAlignment="1">
      <alignment horizontal="center" vertical="center" wrapText="1"/>
    </xf>
    <xf numFmtId="169" fontId="90" fillId="0" borderId="0" xfId="0" applyNumberFormat="1" applyFont="1" applyAlignment="1">
      <alignment horizontal="center"/>
    </xf>
    <xf numFmtId="0" fontId="5" fillId="0" borderId="1" xfId="0" applyFont="1" applyBorder="1" applyAlignment="1">
      <alignment horizontal="center" vertical="center" wrapText="1"/>
    </xf>
    <xf numFmtId="0" fontId="5" fillId="0" borderId="1" xfId="0" quotePrefix="1" applyFont="1" applyBorder="1" applyAlignment="1">
      <alignment horizontal="center" vertical="center" wrapText="1"/>
    </xf>
    <xf numFmtId="3" fontId="5" fillId="0" borderId="1" xfId="1" applyNumberFormat="1" applyFont="1" applyBorder="1" applyAlignment="1">
      <alignment horizontal="center" vertical="center" shrinkToFit="1"/>
    </xf>
    <xf numFmtId="1" fontId="5" fillId="0" borderId="1" xfId="1" applyNumberFormat="1" applyFont="1" applyBorder="1" applyAlignment="1">
      <alignment horizontal="center" vertical="center" shrinkToFit="1"/>
    </xf>
    <xf numFmtId="169" fontId="5" fillId="0" borderId="1" xfId="1" applyNumberFormat="1" applyFont="1" applyBorder="1" applyAlignment="1">
      <alignment horizontal="center" vertical="center" wrapText="1"/>
    </xf>
    <xf numFmtId="169" fontId="5" fillId="0" borderId="0" xfId="1" applyNumberFormat="1" applyFont="1" applyAlignment="1">
      <alignment vertical="center"/>
    </xf>
    <xf numFmtId="169" fontId="38" fillId="0" borderId="0" xfId="1" applyNumberFormat="1" applyFont="1" applyAlignment="1">
      <alignment vertical="center"/>
    </xf>
    <xf numFmtId="0" fontId="96" fillId="0" borderId="1" xfId="0" applyFont="1" applyBorder="1" applyAlignment="1">
      <alignment horizontal="center" vertical="center"/>
    </xf>
    <xf numFmtId="0" fontId="97" fillId="0" borderId="1" xfId="0" quotePrefix="1" applyFont="1" applyBorder="1" applyAlignment="1">
      <alignment horizontal="center" vertical="center"/>
    </xf>
    <xf numFmtId="0" fontId="97" fillId="0" borderId="1" xfId="0" quotePrefix="1" applyFont="1" applyBorder="1" applyAlignment="1">
      <alignment horizontal="center" vertical="center" wrapText="1"/>
    </xf>
    <xf numFmtId="0" fontId="98" fillId="0" borderId="0" xfId="0" applyFont="1" applyAlignment="1">
      <alignment vertical="center"/>
    </xf>
    <xf numFmtId="0" fontId="99" fillId="0" borderId="1" xfId="0" applyFont="1" applyBorder="1" applyAlignment="1">
      <alignment vertical="center"/>
    </xf>
    <xf numFmtId="0" fontId="96" fillId="0" borderId="1" xfId="0" applyFont="1" applyBorder="1" applyAlignment="1">
      <alignment horizontal="center" vertical="center" wrapText="1"/>
    </xf>
    <xf numFmtId="172" fontId="29" fillId="0" borderId="1" xfId="1" applyNumberFormat="1" applyFont="1" applyBorder="1" applyAlignment="1">
      <alignment horizontal="center" vertical="center" shrinkToFit="1"/>
    </xf>
    <xf numFmtId="172" fontId="87" fillId="0" borderId="1" xfId="1" applyNumberFormat="1" applyFont="1" applyBorder="1" applyAlignment="1">
      <alignment horizontal="right" vertical="center" shrinkToFit="1"/>
    </xf>
    <xf numFmtId="172" fontId="87" fillId="0" borderId="1" xfId="1" applyNumberFormat="1" applyFont="1" applyFill="1" applyBorder="1" applyAlignment="1">
      <alignment horizontal="right" vertical="center" shrinkToFit="1"/>
    </xf>
    <xf numFmtId="172" fontId="87" fillId="0" borderId="1" xfId="1" quotePrefix="1" applyNumberFormat="1" applyFont="1" applyBorder="1" applyAlignment="1">
      <alignment horizontal="center" vertical="center" shrinkToFit="1"/>
    </xf>
    <xf numFmtId="172" fontId="87" fillId="0" borderId="1" xfId="1" quotePrefix="1" applyNumberFormat="1" applyFont="1" applyBorder="1" applyAlignment="1">
      <alignment horizontal="right" vertical="center" shrinkToFit="1"/>
    </xf>
    <xf numFmtId="172" fontId="97" fillId="0" borderId="1" xfId="1" applyNumberFormat="1" applyFont="1" applyBorder="1" applyAlignment="1">
      <alignment horizontal="right" vertical="center" shrinkToFit="1"/>
    </xf>
    <xf numFmtId="172" fontId="97" fillId="0" borderId="1" xfId="1" quotePrefix="1" applyNumberFormat="1" applyFont="1" applyBorder="1" applyAlignment="1">
      <alignment horizontal="right" vertical="center" shrinkToFit="1"/>
    </xf>
    <xf numFmtId="172" fontId="97" fillId="0" borderId="1" xfId="1" applyNumberFormat="1" applyFont="1" applyFill="1" applyBorder="1" applyAlignment="1">
      <alignment horizontal="right" vertical="center" shrinkToFit="1"/>
    </xf>
    <xf numFmtId="169" fontId="96" fillId="0" borderId="0" xfId="1" applyNumberFormat="1" applyFont="1" applyAlignment="1">
      <alignment vertical="center"/>
    </xf>
    <xf numFmtId="0" fontId="35" fillId="0" borderId="5" xfId="0" applyFont="1" applyBorder="1" applyAlignment="1">
      <alignment horizontal="center"/>
    </xf>
    <xf numFmtId="0" fontId="82" fillId="0" borderId="0" xfId="0" applyFont="1" applyAlignment="1">
      <alignment horizontal="center"/>
    </xf>
    <xf numFmtId="167" fontId="101" fillId="0" borderId="1" xfId="1" applyNumberFormat="1" applyFont="1" applyFill="1" applyBorder="1" applyAlignment="1">
      <alignment horizontal="right" vertical="center" shrinkToFit="1"/>
    </xf>
    <xf numFmtId="164" fontId="11" fillId="0" borderId="0" xfId="0" applyNumberFormat="1" applyFont="1"/>
    <xf numFmtId="169" fontId="53" fillId="0" borderId="0" xfId="1" applyNumberFormat="1" applyFont="1" applyAlignment="1">
      <alignment vertical="top" wrapText="1"/>
    </xf>
    <xf numFmtId="0" fontId="12" fillId="0" borderId="0" xfId="0" applyFont="1" applyAlignment="1">
      <alignment vertical="top" wrapText="1"/>
    </xf>
    <xf numFmtId="49" fontId="89" fillId="0" borderId="0" xfId="13" applyNumberFormat="1" applyFont="1"/>
    <xf numFmtId="49" fontId="5" fillId="0" borderId="0" xfId="13" applyNumberFormat="1" applyFont="1"/>
    <xf numFmtId="0" fontId="5" fillId="0" borderId="0" xfId="13" applyFont="1"/>
    <xf numFmtId="49" fontId="93" fillId="0" borderId="0" xfId="13" applyNumberFormat="1" applyFont="1" applyAlignment="1">
      <alignment horizontal="center"/>
    </xf>
    <xf numFmtId="0" fontId="5" fillId="0" borderId="0" xfId="13" applyFont="1" applyAlignment="1">
      <alignment horizontal="right"/>
    </xf>
    <xf numFmtId="0" fontId="93" fillId="0" borderId="0" xfId="13" applyFont="1" applyAlignment="1">
      <alignment horizontal="center"/>
    </xf>
    <xf numFmtId="0" fontId="94" fillId="0" borderId="0" xfId="13" applyFont="1"/>
    <xf numFmtId="0" fontId="89" fillId="0" borderId="0" xfId="13" applyFont="1" applyAlignment="1">
      <alignment horizontal="center"/>
    </xf>
    <xf numFmtId="0" fontId="89" fillId="0" borderId="0" xfId="13" applyFont="1"/>
    <xf numFmtId="0" fontId="103" fillId="0" borderId="0" xfId="13" applyFont="1"/>
    <xf numFmtId="0" fontId="94" fillId="0" borderId="0" xfId="13" applyFont="1" applyAlignment="1">
      <alignment horizontal="center"/>
    </xf>
    <xf numFmtId="49" fontId="5" fillId="0" borderId="0" xfId="13" applyNumberFormat="1" applyFont="1" applyAlignment="1">
      <alignment horizontal="center"/>
    </xf>
    <xf numFmtId="169" fontId="83" fillId="0" borderId="0" xfId="1" applyNumberFormat="1" applyFont="1" applyAlignment="1">
      <alignment vertical="center"/>
    </xf>
    <xf numFmtId="169" fontId="84" fillId="0" borderId="0" xfId="1" applyNumberFormat="1" applyFont="1" applyAlignment="1">
      <alignment vertical="center"/>
    </xf>
    <xf numFmtId="169" fontId="45" fillId="0" borderId="0" xfId="1" applyNumberFormat="1" applyFont="1" applyAlignment="1">
      <alignment vertical="center"/>
    </xf>
    <xf numFmtId="169" fontId="32" fillId="0" borderId="0" xfId="1" applyNumberFormat="1" applyFont="1" applyAlignment="1">
      <alignment vertical="center"/>
    </xf>
    <xf numFmtId="169" fontId="28" fillId="0" borderId="0" xfId="1" applyNumberFormat="1" applyFont="1" applyAlignment="1">
      <alignment vertical="center"/>
    </xf>
    <xf numFmtId="0" fontId="65" fillId="0" borderId="0" xfId="0" applyFont="1" applyAlignment="1">
      <alignment vertical="center"/>
    </xf>
    <xf numFmtId="0" fontId="104" fillId="0" borderId="0" xfId="0" applyFont="1" applyAlignment="1">
      <alignment horizontal="right" vertical="center"/>
    </xf>
    <xf numFmtId="175" fontId="38" fillId="0" borderId="0" xfId="1" applyNumberFormat="1" applyFont="1"/>
    <xf numFmtId="175" fontId="23" fillId="0" borderId="1" xfId="0" applyNumberFormat="1" applyFont="1" applyBorder="1" applyAlignment="1">
      <alignment horizontal="center" vertical="center" wrapText="1"/>
    </xf>
    <xf numFmtId="164" fontId="38" fillId="0" borderId="0" xfId="1" applyFont="1"/>
    <xf numFmtId="0" fontId="65" fillId="0" borderId="1" xfId="0" applyFont="1" applyBorder="1" applyAlignment="1">
      <alignment horizontal="center" vertical="center" wrapText="1"/>
    </xf>
    <xf numFmtId="175" fontId="65" fillId="0" borderId="1" xfId="0" applyNumberFormat="1" applyFont="1" applyBorder="1" applyAlignment="1">
      <alignment horizontal="center" vertical="center" wrapText="1"/>
    </xf>
    <xf numFmtId="0" fontId="88" fillId="0" borderId="0" xfId="0" applyFont="1"/>
    <xf numFmtId="176" fontId="88" fillId="0" borderId="0" xfId="0" applyNumberFormat="1" applyFont="1"/>
    <xf numFmtId="0" fontId="62" fillId="0" borderId="1" xfId="0" applyFont="1" applyBorder="1" applyAlignment="1">
      <alignment horizontal="center" vertical="center" wrapText="1"/>
    </xf>
    <xf numFmtId="0" fontId="62" fillId="0" borderId="1" xfId="0" applyFont="1" applyBorder="1" applyAlignment="1">
      <alignment vertical="center" wrapText="1"/>
    </xf>
    <xf numFmtId="171" fontId="62" fillId="0" borderId="1" xfId="1" applyNumberFormat="1" applyFont="1" applyBorder="1" applyAlignment="1">
      <alignment horizontal="center" vertical="center" shrinkToFit="1"/>
    </xf>
    <xf numFmtId="43" fontId="62" fillId="0" borderId="1" xfId="1" applyNumberFormat="1" applyFont="1" applyBorder="1" applyAlignment="1">
      <alignment horizontal="center" vertical="center" wrapText="1"/>
    </xf>
    <xf numFmtId="176" fontId="38" fillId="0" borderId="0" xfId="0" applyNumberFormat="1" applyFont="1"/>
    <xf numFmtId="2" fontId="62" fillId="0" borderId="1" xfId="1" applyNumberFormat="1" applyFont="1" applyBorder="1" applyAlignment="1">
      <alignment horizontal="right" vertical="center" wrapText="1"/>
    </xf>
    <xf numFmtId="171" fontId="38" fillId="0" borderId="0" xfId="0" applyNumberFormat="1" applyFont="1"/>
    <xf numFmtId="168" fontId="38" fillId="0" borderId="0" xfId="1" applyNumberFormat="1" applyFont="1" applyAlignment="1">
      <alignment horizontal="center"/>
    </xf>
    <xf numFmtId="0" fontId="104" fillId="0" borderId="1" xfId="0" applyFont="1" applyBorder="1" applyAlignment="1">
      <alignment horizontal="center" vertical="center" wrapText="1"/>
    </xf>
    <xf numFmtId="0" fontId="104" fillId="0" borderId="1" xfId="0" applyFont="1" applyBorder="1" applyAlignment="1">
      <alignment vertical="center" wrapText="1"/>
    </xf>
    <xf numFmtId="171" fontId="104" fillId="0" borderId="1" xfId="1" applyNumberFormat="1" applyFont="1" applyBorder="1" applyAlignment="1">
      <alignment horizontal="center" vertical="center" shrinkToFit="1"/>
    </xf>
    <xf numFmtId="2" fontId="104" fillId="0" borderId="1" xfId="1" applyNumberFormat="1" applyFont="1" applyBorder="1" applyAlignment="1">
      <alignment horizontal="right" vertical="center" wrapText="1"/>
    </xf>
    <xf numFmtId="0" fontId="38" fillId="0" borderId="0" xfId="0" applyFont="1" applyAlignment="1">
      <alignment horizontal="center"/>
    </xf>
    <xf numFmtId="168" fontId="38" fillId="0" borderId="0" xfId="1" applyNumberFormat="1" applyFont="1"/>
    <xf numFmtId="168" fontId="38" fillId="0" borderId="0" xfId="0" applyNumberFormat="1" applyFont="1"/>
    <xf numFmtId="174" fontId="38" fillId="0" borderId="0" xfId="1" applyNumberFormat="1" applyFont="1"/>
    <xf numFmtId="169" fontId="96" fillId="2" borderId="0" xfId="1" applyNumberFormat="1" applyFont="1" applyFill="1"/>
    <xf numFmtId="171" fontId="29" fillId="0" borderId="1" xfId="1" applyNumberFormat="1" applyFont="1" applyBorder="1" applyAlignment="1">
      <alignment horizontal="center" vertical="center" shrinkToFit="1"/>
    </xf>
    <xf numFmtId="0" fontId="29" fillId="0" borderId="1" xfId="0" applyFont="1" applyBorder="1" applyAlignment="1">
      <alignment vertical="center" wrapText="1"/>
    </xf>
    <xf numFmtId="171" fontId="29" fillId="0" borderId="1" xfId="1" applyNumberFormat="1" applyFont="1" applyFill="1" applyBorder="1" applyAlignment="1">
      <alignment horizontal="center" vertical="center" shrinkToFit="1"/>
    </xf>
    <xf numFmtId="43" fontId="29" fillId="0" borderId="1" xfId="1" applyNumberFormat="1" applyFont="1" applyBorder="1" applyAlignment="1">
      <alignment horizontal="center" vertical="center" wrapText="1"/>
    </xf>
    <xf numFmtId="169" fontId="106" fillId="0" borderId="0" xfId="1" applyNumberFormat="1" applyFont="1"/>
    <xf numFmtId="168" fontId="106" fillId="0" borderId="0" xfId="1" applyNumberFormat="1" applyFont="1"/>
    <xf numFmtId="171" fontId="106" fillId="0" borderId="0" xfId="0" applyNumberFormat="1" applyFont="1"/>
    <xf numFmtId="0" fontId="106" fillId="0" borderId="0" xfId="0" applyFont="1"/>
    <xf numFmtId="43" fontId="104" fillId="0" borderId="1" xfId="1" applyNumberFormat="1" applyFont="1" applyBorder="1" applyAlignment="1">
      <alignment horizontal="center" vertical="center" wrapText="1"/>
    </xf>
    <xf numFmtId="169" fontId="39" fillId="0" borderId="0" xfId="0" applyNumberFormat="1" applyFont="1" applyAlignment="1">
      <alignment horizontal="center"/>
    </xf>
    <xf numFmtId="176" fontId="39" fillId="0" borderId="0" xfId="0" applyNumberFormat="1" applyFont="1" applyAlignment="1">
      <alignment horizontal="center"/>
    </xf>
    <xf numFmtId="175" fontId="96" fillId="0" borderId="0" xfId="1" applyNumberFormat="1" applyFont="1"/>
    <xf numFmtId="43" fontId="38" fillId="0" borderId="0" xfId="1" applyNumberFormat="1" applyFont="1" applyAlignment="1">
      <alignment horizontal="center"/>
    </xf>
    <xf numFmtId="175" fontId="38" fillId="0" borderId="0" xfId="1" applyNumberFormat="1" applyFont="1" applyAlignment="1">
      <alignment horizontal="center"/>
    </xf>
    <xf numFmtId="0" fontId="5" fillId="0" borderId="0" xfId="0" applyFont="1"/>
    <xf numFmtId="168" fontId="82" fillId="0" borderId="5" xfId="0" applyNumberFormat="1" applyFont="1" applyBorder="1"/>
    <xf numFmtId="0" fontId="56" fillId="0" borderId="0" xfId="0" applyFont="1" applyAlignment="1">
      <alignment vertical="center" wrapText="1"/>
    </xf>
    <xf numFmtId="0" fontId="107" fillId="0" borderId="0" xfId="0" applyFont="1" applyAlignment="1">
      <alignment vertical="center" wrapText="1"/>
    </xf>
    <xf numFmtId="168" fontId="107" fillId="0" borderId="0" xfId="1" applyNumberFormat="1" applyFont="1" applyFill="1" applyAlignment="1">
      <alignment vertical="center" wrapText="1"/>
    </xf>
    <xf numFmtId="0" fontId="91" fillId="0" borderId="1" xfId="0" applyFont="1" applyBorder="1" applyAlignment="1">
      <alignment horizontal="center" vertical="center" wrapText="1"/>
    </xf>
    <xf numFmtId="0" fontId="108" fillId="0" borderId="1" xfId="0" applyFont="1" applyBorder="1" applyAlignment="1">
      <alignment horizontal="center" vertical="center" shrinkToFit="1"/>
    </xf>
    <xf numFmtId="169" fontId="91" fillId="0" borderId="1" xfId="1" applyNumberFormat="1" applyFont="1" applyBorder="1" applyAlignment="1">
      <alignment horizontal="center" vertical="center" wrapText="1"/>
    </xf>
    <xf numFmtId="0" fontId="107" fillId="0" borderId="0" xfId="0" applyFont="1"/>
    <xf numFmtId="0" fontId="91" fillId="2" borderId="1" xfId="0" applyFont="1" applyFill="1" applyBorder="1" applyAlignment="1">
      <alignment horizontal="center" vertical="center" wrapText="1"/>
    </xf>
    <xf numFmtId="0" fontId="108" fillId="2" borderId="1" xfId="0" applyFont="1" applyFill="1" applyBorder="1" applyAlignment="1">
      <alignment horizontal="center" vertical="center" shrinkToFit="1"/>
    </xf>
    <xf numFmtId="171" fontId="109" fillId="2" borderId="1" xfId="1" applyNumberFormat="1" applyFont="1" applyFill="1" applyBorder="1" applyAlignment="1">
      <alignment horizontal="center" vertical="center" shrinkToFit="1"/>
    </xf>
    <xf numFmtId="0" fontId="107" fillId="2" borderId="0" xfId="0" applyFont="1" applyFill="1"/>
    <xf numFmtId="0" fontId="110" fillId="0" borderId="1" xfId="0" applyFont="1" applyBorder="1" applyAlignment="1">
      <alignment vertical="center" wrapText="1"/>
    </xf>
    <xf numFmtId="171" fontId="109" fillId="0" borderId="1" xfId="1" applyNumberFormat="1" applyFont="1" applyFill="1" applyBorder="1" applyAlignment="1">
      <alignment horizontal="center" vertical="center" shrinkToFit="1"/>
    </xf>
    <xf numFmtId="180" fontId="109" fillId="0" borderId="1" xfId="12" applyNumberFormat="1" applyFont="1" applyFill="1" applyBorder="1" applyAlignment="1">
      <alignment horizontal="center" vertical="center" shrinkToFit="1"/>
    </xf>
    <xf numFmtId="175" fontId="110" fillId="0" borderId="0" xfId="0" applyNumberFormat="1" applyFont="1" applyAlignment="1">
      <alignment vertical="center"/>
    </xf>
    <xf numFmtId="0" fontId="110" fillId="0" borderId="0" xfId="0" applyFont="1" applyAlignment="1">
      <alignment vertical="center"/>
    </xf>
    <xf numFmtId="176" fontId="110" fillId="0" borderId="0" xfId="0" applyNumberFormat="1" applyFont="1" applyAlignment="1">
      <alignment vertical="center"/>
    </xf>
    <xf numFmtId="0" fontId="109" fillId="0" borderId="1" xfId="0" applyFont="1" applyBorder="1" applyAlignment="1">
      <alignment horizontal="center" vertical="center" wrapText="1"/>
    </xf>
    <xf numFmtId="171" fontId="109" fillId="0" borderId="1" xfId="1" applyNumberFormat="1" applyFont="1" applyBorder="1" applyAlignment="1">
      <alignment horizontal="center" vertical="center" shrinkToFit="1"/>
    </xf>
    <xf numFmtId="180" fontId="110" fillId="0" borderId="1" xfId="12" applyNumberFormat="1" applyFont="1" applyBorder="1" applyAlignment="1">
      <alignment horizontal="center" vertical="center" shrinkToFit="1"/>
    </xf>
    <xf numFmtId="43" fontId="109" fillId="0" borderId="0" xfId="0" applyNumberFormat="1" applyFont="1" applyAlignment="1">
      <alignment vertical="center"/>
    </xf>
    <xf numFmtId="0" fontId="109" fillId="0" borderId="0" xfId="0" applyFont="1" applyAlignment="1">
      <alignment vertical="center"/>
    </xf>
    <xf numFmtId="176" fontId="109" fillId="0" borderId="0" xfId="0" applyNumberFormat="1" applyFont="1" applyAlignment="1">
      <alignment vertical="center"/>
    </xf>
    <xf numFmtId="171" fontId="109" fillId="0" borderId="0" xfId="0" applyNumberFormat="1" applyFont="1" applyAlignment="1">
      <alignment vertical="center"/>
    </xf>
    <xf numFmtId="0" fontId="5" fillId="0" borderId="1" xfId="0" applyFont="1" applyBorder="1" applyAlignment="1">
      <alignment horizontal="left" vertical="center" wrapText="1"/>
    </xf>
    <xf numFmtId="171" fontId="111" fillId="0" borderId="1" xfId="1" applyNumberFormat="1" applyFont="1" applyBorder="1" applyAlignment="1">
      <alignment horizontal="center" vertical="center" shrinkToFit="1"/>
    </xf>
    <xf numFmtId="175" fontId="111" fillId="0" borderId="1" xfId="1" applyNumberFormat="1" applyFont="1" applyBorder="1" applyAlignment="1">
      <alignment horizontal="center" vertical="center" shrinkToFit="1"/>
    </xf>
    <xf numFmtId="180" fontId="111" fillId="0" borderId="1" xfId="12" applyNumberFormat="1" applyFont="1" applyBorder="1" applyAlignment="1">
      <alignment horizontal="center" vertical="center" shrinkToFit="1"/>
    </xf>
    <xf numFmtId="43" fontId="111" fillId="0" borderId="0" xfId="0" applyNumberFormat="1" applyFont="1" applyAlignment="1">
      <alignment vertical="center"/>
    </xf>
    <xf numFmtId="0" fontId="111" fillId="0" borderId="0" xfId="0" applyFont="1" applyAlignment="1">
      <alignment vertical="center"/>
    </xf>
    <xf numFmtId="176" fontId="111" fillId="0" borderId="0" xfId="0" applyNumberFormat="1" applyFont="1" applyAlignment="1">
      <alignment vertical="center"/>
    </xf>
    <xf numFmtId="171" fontId="111" fillId="0" borderId="0" xfId="0" applyNumberFormat="1" applyFont="1" applyAlignment="1">
      <alignment vertical="center"/>
    </xf>
    <xf numFmtId="171" fontId="111" fillId="0" borderId="1" xfId="1" applyNumberFormat="1" applyFont="1" applyFill="1" applyBorder="1" applyAlignment="1">
      <alignment horizontal="center" vertical="center" shrinkToFit="1"/>
    </xf>
    <xf numFmtId="175" fontId="111" fillId="0" borderId="1" xfId="1" applyNumberFormat="1" applyFont="1" applyFill="1" applyBorder="1" applyAlignment="1">
      <alignment horizontal="center" vertical="center" shrinkToFit="1"/>
    </xf>
    <xf numFmtId="180" fontId="111" fillId="0" borderId="1" xfId="12" applyNumberFormat="1" applyFont="1" applyFill="1" applyBorder="1" applyAlignment="1">
      <alignment horizontal="center" vertical="center" shrinkToFit="1"/>
    </xf>
    <xf numFmtId="0" fontId="79" fillId="0" borderId="1" xfId="0" applyFont="1" applyBorder="1" applyAlignment="1">
      <alignment vertical="center"/>
    </xf>
    <xf numFmtId="0" fontId="56" fillId="0" borderId="0" xfId="0" applyFont="1" applyAlignment="1">
      <alignment vertical="center"/>
    </xf>
    <xf numFmtId="169" fontId="56" fillId="0" borderId="0" xfId="1" applyNumberFormat="1" applyFont="1" applyAlignment="1">
      <alignment vertical="center"/>
    </xf>
    <xf numFmtId="167" fontId="56" fillId="4" borderId="1" xfId="14" applyNumberFormat="1" applyFont="1" applyFill="1" applyBorder="1" applyAlignment="1">
      <alignment vertical="center" shrinkToFit="1"/>
    </xf>
    <xf numFmtId="171" fontId="56" fillId="0" borderId="1" xfId="1" applyNumberFormat="1" applyFont="1" applyBorder="1" applyAlignment="1">
      <alignment horizontal="center" vertical="center" shrinkToFit="1"/>
    </xf>
    <xf numFmtId="175" fontId="56" fillId="0" borderId="1" xfId="1" applyNumberFormat="1" applyFont="1" applyBorder="1" applyAlignment="1">
      <alignment horizontal="center" vertical="center" shrinkToFit="1"/>
    </xf>
    <xf numFmtId="180" fontId="109" fillId="0" borderId="1" xfId="12" applyNumberFormat="1" applyFont="1" applyBorder="1" applyAlignment="1">
      <alignment horizontal="center" vertical="center" shrinkToFit="1"/>
    </xf>
    <xf numFmtId="0" fontId="79" fillId="0" borderId="0" xfId="0" applyFont="1" applyAlignment="1">
      <alignment vertical="center"/>
    </xf>
    <xf numFmtId="0" fontId="56" fillId="0" borderId="1" xfId="0" applyFont="1" applyBorder="1" applyAlignment="1">
      <alignment horizontal="center" vertical="center" wrapText="1"/>
    </xf>
    <xf numFmtId="169" fontId="56" fillId="0" borderId="1" xfId="1" applyNumberFormat="1" applyFont="1" applyBorder="1" applyAlignment="1">
      <alignment vertical="center" shrinkToFit="1"/>
    </xf>
    <xf numFmtId="171" fontId="79" fillId="0" borderId="1" xfId="1" applyNumberFormat="1" applyFont="1" applyBorder="1" applyAlignment="1">
      <alignment horizontal="center" vertical="center" shrinkToFit="1"/>
    </xf>
    <xf numFmtId="171" fontId="79" fillId="0" borderId="1" xfId="1" applyNumberFormat="1" applyFont="1" applyFill="1" applyBorder="1" applyAlignment="1">
      <alignment horizontal="center" vertical="center" shrinkToFit="1"/>
    </xf>
    <xf numFmtId="175" fontId="79" fillId="0" borderId="1" xfId="1" applyNumberFormat="1" applyFont="1" applyBorder="1" applyAlignment="1">
      <alignment horizontal="center" vertical="center" shrinkToFit="1"/>
    </xf>
    <xf numFmtId="0" fontId="89" fillId="0" borderId="0" xfId="0" applyFont="1"/>
    <xf numFmtId="169" fontId="5" fillId="0" borderId="0" xfId="1" applyNumberFormat="1" applyFont="1" applyFill="1"/>
    <xf numFmtId="171" fontId="5" fillId="0" borderId="12" xfId="0" applyNumberFormat="1" applyFont="1" applyBorder="1" applyAlignment="1">
      <alignment horizontal="center"/>
    </xf>
    <xf numFmtId="171" fontId="5" fillId="0" borderId="0" xfId="0" applyNumberFormat="1" applyFont="1" applyAlignment="1">
      <alignment horizontal="center"/>
    </xf>
    <xf numFmtId="171" fontId="5" fillId="0" borderId="0" xfId="0" applyNumberFormat="1" applyFont="1"/>
    <xf numFmtId="178" fontId="79" fillId="0" borderId="0" xfId="0" applyNumberFormat="1" applyFont="1" applyAlignment="1">
      <alignment horizontal="center"/>
    </xf>
    <xf numFmtId="0" fontId="107" fillId="0" borderId="1" xfId="0" applyFont="1" applyBorder="1" applyAlignment="1">
      <alignment horizontal="center" vertical="center" wrapText="1"/>
    </xf>
    <xf numFmtId="0" fontId="107" fillId="2" borderId="1" xfId="0" applyFont="1" applyFill="1" applyBorder="1" applyAlignment="1">
      <alignment horizontal="center" vertical="center" wrapText="1"/>
    </xf>
    <xf numFmtId="0" fontId="112" fillId="0" borderId="1" xfId="0" applyFont="1" applyBorder="1" applyAlignment="1">
      <alignment horizontal="center" vertical="center" wrapText="1"/>
    </xf>
    <xf numFmtId="0" fontId="56" fillId="4" borderId="1" xfId="0" applyFont="1" applyFill="1" applyBorder="1" applyAlignment="1">
      <alignment horizontal="left" vertical="center" wrapText="1"/>
    </xf>
    <xf numFmtId="0" fontId="56" fillId="0" borderId="1" xfId="0" applyFont="1" applyBorder="1" applyAlignment="1">
      <alignment vertical="center"/>
    </xf>
    <xf numFmtId="0" fontId="26" fillId="0" borderId="0" xfId="0" applyFont="1" applyAlignment="1">
      <alignment horizontal="center" vertical="center"/>
    </xf>
    <xf numFmtId="0" fontId="116" fillId="0" borderId="0" xfId="0" applyFont="1" applyAlignment="1">
      <alignment horizontal="center" vertical="center"/>
    </xf>
    <xf numFmtId="0" fontId="117" fillId="0" borderId="1" xfId="0" applyFont="1" applyBorder="1" applyAlignment="1">
      <alignment horizontal="center" vertical="center" wrapText="1"/>
    </xf>
    <xf numFmtId="169" fontId="118" fillId="0" borderId="0" xfId="1" applyNumberFormat="1" applyFont="1" applyAlignment="1">
      <alignment horizontal="center" vertical="center"/>
    </xf>
    <xf numFmtId="0" fontId="119" fillId="0" borderId="1" xfId="0" applyFont="1" applyBorder="1" applyAlignment="1">
      <alignment horizontal="center" wrapText="1"/>
    </xf>
    <xf numFmtId="0" fontId="120" fillId="0" borderId="1" xfId="0" applyFont="1" applyBorder="1" applyAlignment="1">
      <alignment horizontal="center" wrapText="1"/>
    </xf>
    <xf numFmtId="0" fontId="121" fillId="0" borderId="0" xfId="0" applyFont="1"/>
    <xf numFmtId="169" fontId="50" fillId="0" borderId="1" xfId="1" applyNumberFormat="1" applyFont="1" applyFill="1" applyBorder="1" applyAlignment="1">
      <alignment horizontal="center" vertical="center" wrapText="1"/>
    </xf>
    <xf numFmtId="169" fontId="50" fillId="0" borderId="1" xfId="1" applyNumberFormat="1" applyFont="1" applyFill="1" applyBorder="1" applyAlignment="1">
      <alignment horizontal="right" vertical="center" shrinkToFit="1"/>
    </xf>
    <xf numFmtId="181" fontId="50" fillId="0" borderId="1" xfId="0" applyNumberFormat="1" applyFont="1" applyBorder="1" applyAlignment="1">
      <alignment horizontal="right" vertical="center" shrinkToFit="1"/>
    </xf>
    <xf numFmtId="167" fontId="21" fillId="0" borderId="2" xfId="0" applyNumberFormat="1" applyFont="1" applyBorder="1" applyAlignment="1">
      <alignment horizontal="right" vertical="center" shrinkToFit="1"/>
    </xf>
    <xf numFmtId="169" fontId="81" fillId="0" borderId="0" xfId="0" applyNumberFormat="1" applyFont="1" applyAlignment="1">
      <alignment vertical="center"/>
    </xf>
    <xf numFmtId="169" fontId="50" fillId="0" borderId="0" xfId="1" applyNumberFormat="1" applyFont="1" applyBorder="1" applyAlignment="1">
      <alignment vertical="center"/>
    </xf>
    <xf numFmtId="169" fontId="50" fillId="0" borderId="0" xfId="1" applyNumberFormat="1" applyFont="1" applyAlignment="1">
      <alignment vertical="center"/>
    </xf>
    <xf numFmtId="169" fontId="122" fillId="0" borderId="1" xfId="1" applyNumberFormat="1" applyFont="1" applyFill="1" applyBorder="1" applyAlignment="1">
      <alignment horizontal="right" vertical="center" shrinkToFit="1"/>
    </xf>
    <xf numFmtId="0" fontId="122" fillId="0" borderId="1" xfId="0" applyFont="1" applyBorder="1" applyAlignment="1">
      <alignment vertical="center" shrinkToFit="1"/>
    </xf>
    <xf numFmtId="167" fontId="122" fillId="0" borderId="1" xfId="1" applyNumberFormat="1" applyFont="1" applyFill="1" applyBorder="1" applyAlignment="1">
      <alignment horizontal="right" vertical="center" shrinkToFit="1"/>
    </xf>
    <xf numFmtId="181" fontId="122" fillId="0" borderId="1" xfId="1" applyNumberFormat="1" applyFont="1" applyFill="1" applyBorder="1" applyAlignment="1">
      <alignment horizontal="right" vertical="center" shrinkToFit="1"/>
    </xf>
    <xf numFmtId="167" fontId="122" fillId="0" borderId="1" xfId="0" applyNumberFormat="1" applyFont="1" applyBorder="1" applyAlignment="1">
      <alignment vertical="center" shrinkToFit="1"/>
    </xf>
    <xf numFmtId="167" fontId="123" fillId="0" borderId="1" xfId="1" applyNumberFormat="1" applyFont="1" applyFill="1" applyBorder="1" applyAlignment="1">
      <alignment horizontal="right" vertical="center" shrinkToFit="1"/>
    </xf>
    <xf numFmtId="181" fontId="122" fillId="0" borderId="1" xfId="0" applyNumberFormat="1" applyFont="1" applyBorder="1" applyAlignment="1">
      <alignment horizontal="right" vertical="center" shrinkToFit="1"/>
    </xf>
    <xf numFmtId="174" fontId="122" fillId="0" borderId="0" xfId="1" applyNumberFormat="1" applyFont="1" applyAlignment="1">
      <alignment horizontal="left" vertical="center"/>
    </xf>
    <xf numFmtId="177" fontId="122" fillId="0" borderId="0" xfId="0" applyNumberFormat="1" applyFont="1" applyAlignment="1">
      <alignment vertical="center"/>
    </xf>
    <xf numFmtId="0" fontId="122" fillId="0" borderId="0" xfId="0" applyFont="1" applyAlignment="1">
      <alignment vertical="center"/>
    </xf>
    <xf numFmtId="169" fontId="122" fillId="0" borderId="1" xfId="1" applyNumberFormat="1" applyFont="1" applyFill="1" applyBorder="1" applyAlignment="1">
      <alignment vertical="center" shrinkToFit="1"/>
    </xf>
    <xf numFmtId="174" fontId="122" fillId="0" borderId="0" xfId="1" applyNumberFormat="1" applyFont="1" applyBorder="1" applyAlignment="1">
      <alignment horizontal="left" vertical="center"/>
    </xf>
    <xf numFmtId="167" fontId="122" fillId="0" borderId="1" xfId="1" applyNumberFormat="1" applyFont="1" applyFill="1" applyBorder="1" applyAlignment="1">
      <alignment vertical="center" shrinkToFit="1"/>
    </xf>
    <xf numFmtId="169" fontId="122" fillId="0" borderId="1" xfId="1" applyNumberFormat="1" applyFont="1" applyBorder="1" applyAlignment="1">
      <alignment vertical="center" shrinkToFit="1"/>
    </xf>
    <xf numFmtId="181" fontId="122" fillId="0" borderId="0" xfId="0" applyNumberFormat="1" applyFont="1" applyAlignment="1">
      <alignment horizontal="right" vertical="center" shrinkToFit="1"/>
    </xf>
    <xf numFmtId="0" fontId="124" fillId="0" borderId="0" xfId="0" applyFont="1"/>
    <xf numFmtId="177" fontId="124" fillId="0" borderId="0" xfId="0" applyNumberFormat="1" applyFont="1"/>
    <xf numFmtId="0" fontId="94" fillId="0" borderId="5" xfId="0" applyFont="1" applyBorder="1" applyAlignment="1">
      <alignment horizontal="center" vertical="justify"/>
    </xf>
    <xf numFmtId="0" fontId="89" fillId="0" borderId="0" xfId="0" applyFont="1" applyAlignment="1">
      <alignment wrapText="1"/>
    </xf>
    <xf numFmtId="0" fontId="89" fillId="0" borderId="1" xfId="0" applyFont="1" applyBorder="1" applyAlignment="1">
      <alignment horizontal="center" vertical="center"/>
    </xf>
    <xf numFmtId="14" fontId="5" fillId="0" borderId="1" xfId="0" quotePrefix="1" applyNumberFormat="1" applyFont="1" applyBorder="1" applyAlignment="1">
      <alignment horizontal="center" vertical="center" wrapText="1"/>
    </xf>
    <xf numFmtId="182" fontId="5" fillId="0" borderId="1" xfId="1" applyNumberFormat="1" applyFont="1" applyBorder="1" applyAlignment="1">
      <alignment vertical="center" shrinkToFit="1"/>
    </xf>
    <xf numFmtId="176" fontId="5" fillId="0" borderId="0" xfId="0" applyNumberFormat="1" applyFont="1" applyAlignment="1">
      <alignment vertical="center" wrapText="1"/>
    </xf>
    <xf numFmtId="0" fontId="5" fillId="0" borderId="0" xfId="0" applyFont="1" applyAlignment="1">
      <alignment vertical="center" wrapText="1"/>
    </xf>
    <xf numFmtId="14" fontId="5" fillId="0" borderId="1" xfId="0" quotePrefix="1" applyNumberFormat="1" applyFont="1" applyBorder="1" applyAlignment="1">
      <alignment horizontal="center" vertical="center" shrinkToFit="1"/>
    </xf>
    <xf numFmtId="1" fontId="5" fillId="0" borderId="1" xfId="0" quotePrefix="1" applyNumberFormat="1" applyFont="1" applyBorder="1" applyAlignment="1">
      <alignment horizontal="center" vertical="center" shrinkToFit="1"/>
    </xf>
    <xf numFmtId="165" fontId="5" fillId="0" borderId="1" xfId="17" applyFont="1" applyFill="1" applyBorder="1" applyAlignment="1" applyProtection="1">
      <alignment horizontal="left" vertical="center" wrapText="1"/>
      <protection locked="0"/>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xf>
    <xf numFmtId="168" fontId="5" fillId="0" borderId="0" xfId="1" applyNumberFormat="1" applyFont="1" applyAlignment="1">
      <alignment horizontal="right"/>
    </xf>
    <xf numFmtId="167" fontId="89" fillId="0" borderId="1" xfId="0" applyNumberFormat="1" applyFont="1" applyBorder="1" applyAlignment="1">
      <alignment horizontal="center" vertical="center" shrinkToFit="1"/>
    </xf>
    <xf numFmtId="0" fontId="94" fillId="0" borderId="0" xfId="0" applyFont="1" applyAlignment="1">
      <alignment horizontal="center" vertical="center"/>
    </xf>
    <xf numFmtId="0" fontId="94" fillId="0" borderId="0" xfId="0" applyFont="1" applyAlignment="1">
      <alignment horizontal="right"/>
    </xf>
    <xf numFmtId="0" fontId="89" fillId="0" borderId="0" xfId="0" applyFont="1" applyAlignment="1">
      <alignment horizontal="center" vertical="center" wrapText="1"/>
    </xf>
    <xf numFmtId="182" fontId="89" fillId="0" borderId="0" xfId="0" applyNumberFormat="1" applyFont="1" applyAlignment="1">
      <alignment horizontal="center" vertical="center" shrinkToFit="1"/>
    </xf>
    <xf numFmtId="167" fontId="5" fillId="0" borderId="0" xfId="1" applyNumberFormat="1" applyFont="1" applyBorder="1" applyAlignment="1">
      <alignment vertical="center" shrinkToFit="1"/>
    </xf>
    <xf numFmtId="167" fontId="5" fillId="0" borderId="1" xfId="1" applyNumberFormat="1" applyFont="1" applyBorder="1" applyAlignment="1">
      <alignment vertical="center" shrinkToFit="1"/>
    </xf>
    <xf numFmtId="182" fontId="5" fillId="0" borderId="1" xfId="0" applyNumberFormat="1" applyFont="1" applyBorder="1" applyAlignment="1">
      <alignment vertical="center" shrinkToFit="1"/>
    </xf>
    <xf numFmtId="0" fontId="5" fillId="0" borderId="1" xfId="0" applyFont="1" applyBorder="1" applyAlignment="1">
      <alignment vertical="center" shrinkToFit="1"/>
    </xf>
    <xf numFmtId="167" fontId="5" fillId="0" borderId="1" xfId="0" applyNumberFormat="1" applyFont="1" applyBorder="1" applyAlignment="1">
      <alignment vertical="center" shrinkToFit="1"/>
    </xf>
    <xf numFmtId="0" fontId="89" fillId="0" borderId="1" xfId="0" applyFont="1" applyBorder="1" applyAlignment="1">
      <alignment vertical="center" shrinkToFit="1"/>
    </xf>
    <xf numFmtId="0" fontId="126" fillId="0" borderId="0" xfId="13" applyFont="1" applyAlignment="1">
      <alignment horizontal="center"/>
    </xf>
    <xf numFmtId="0" fontId="125" fillId="0" borderId="0" xfId="13" applyFont="1" applyAlignment="1">
      <alignment horizontal="center"/>
    </xf>
    <xf numFmtId="49" fontId="89" fillId="0" borderId="1" xfId="13" applyNumberFormat="1" applyFont="1" applyBorder="1" applyAlignment="1">
      <alignment horizontal="center" vertical="center"/>
    </xf>
    <xf numFmtId="0" fontId="89" fillId="0" borderId="1" xfId="13" applyFont="1" applyBorder="1" applyAlignment="1">
      <alignment horizontal="center" vertical="center"/>
    </xf>
    <xf numFmtId="49" fontId="89" fillId="0" borderId="2" xfId="13" applyNumberFormat="1" applyFont="1" applyBorder="1" applyAlignment="1">
      <alignment horizontal="center" vertical="center"/>
    </xf>
    <xf numFmtId="49" fontId="89" fillId="0" borderId="6" xfId="13" applyNumberFormat="1" applyFont="1" applyBorder="1" applyAlignment="1">
      <alignment horizontal="center" vertical="center"/>
    </xf>
    <xf numFmtId="49" fontId="89" fillId="0" borderId="7" xfId="13" applyNumberFormat="1" applyFont="1" applyBorder="1" applyAlignment="1">
      <alignment horizontal="center" vertical="center"/>
    </xf>
    <xf numFmtId="0" fontId="89" fillId="0" borderId="0" xfId="13" applyFont="1" applyAlignment="1">
      <alignment vertical="center"/>
    </xf>
    <xf numFmtId="49" fontId="5" fillId="0" borderId="1" xfId="13" applyNumberFormat="1" applyFont="1" applyBorder="1" applyAlignment="1">
      <alignment horizontal="center" vertical="center"/>
    </xf>
    <xf numFmtId="49" fontId="56" fillId="0" borderId="4" xfId="13" applyNumberFormat="1" applyFont="1" applyBorder="1" applyAlignment="1">
      <alignment horizontal="center" vertical="center"/>
    </xf>
    <xf numFmtId="0" fontId="56" fillId="0" borderId="4" xfId="13" applyFont="1" applyBorder="1" applyAlignment="1">
      <alignment horizontal="center" vertical="center"/>
    </xf>
    <xf numFmtId="0" fontId="5" fillId="0" borderId="0" xfId="13" applyFont="1" applyAlignment="1">
      <alignment vertical="center"/>
    </xf>
    <xf numFmtId="3" fontId="89" fillId="0" borderId="1" xfId="13" applyNumberFormat="1" applyFont="1" applyBorder="1" applyAlignment="1">
      <alignment vertical="center"/>
    </xf>
    <xf numFmtId="49" fontId="5" fillId="0" borderId="9" xfId="13" applyNumberFormat="1" applyFont="1" applyBorder="1" applyAlignment="1">
      <alignment vertical="center"/>
    </xf>
    <xf numFmtId="0" fontId="5" fillId="0" borderId="10" xfId="13" applyFont="1" applyBorder="1" applyAlignment="1">
      <alignment vertical="center"/>
    </xf>
    <xf numFmtId="49" fontId="61" fillId="0" borderId="1" xfId="0" applyNumberFormat="1" applyFont="1" applyBorder="1" applyAlignment="1">
      <alignment horizontal="center" vertical="center"/>
    </xf>
    <xf numFmtId="3" fontId="61" fillId="0" borderId="1" xfId="1" applyNumberFormat="1" applyFont="1" applyBorder="1" applyAlignment="1">
      <alignment vertical="center"/>
    </xf>
    <xf numFmtId="49" fontId="5" fillId="0" borderId="11" xfId="13" applyNumberFormat="1" applyFont="1" applyBorder="1" applyAlignment="1">
      <alignment vertical="center"/>
    </xf>
    <xf numFmtId="3" fontId="67" fillId="0" borderId="1" xfId="1" applyNumberFormat="1" applyFont="1" applyBorder="1" applyAlignment="1">
      <alignment vertical="center"/>
    </xf>
    <xf numFmtId="167" fontId="61" fillId="0" borderId="1" xfId="1" applyNumberFormat="1" applyFont="1" applyBorder="1" applyAlignment="1">
      <alignment vertical="center"/>
    </xf>
    <xf numFmtId="49" fontId="89" fillId="0" borderId="0" xfId="13" applyNumberFormat="1" applyFont="1" applyAlignment="1">
      <alignment vertical="center"/>
    </xf>
    <xf numFmtId="49" fontId="5" fillId="0" borderId="0" xfId="13" applyNumberFormat="1" applyFont="1" applyAlignment="1">
      <alignment horizontal="center" vertical="center"/>
    </xf>
    <xf numFmtId="49" fontId="5" fillId="0" borderId="0" xfId="13" applyNumberFormat="1" applyFont="1" applyAlignment="1">
      <alignment vertical="center"/>
    </xf>
    <xf numFmtId="0" fontId="29" fillId="0" borderId="0" xfId="0" applyFont="1" applyAlignment="1">
      <alignment vertical="top" wrapText="1"/>
    </xf>
    <xf numFmtId="0" fontId="67" fillId="0" borderId="0" xfId="0" applyFont="1" applyAlignment="1">
      <alignment horizontal="center"/>
    </xf>
    <xf numFmtId="0" fontId="36" fillId="0" borderId="0" xfId="0" applyFont="1" applyAlignment="1">
      <alignment horizontal="center"/>
    </xf>
    <xf numFmtId="0" fontId="37" fillId="0" borderId="0" xfId="0" applyFont="1" applyAlignment="1">
      <alignment horizontal="center"/>
    </xf>
    <xf numFmtId="0" fontId="35" fillId="0" borderId="0" xfId="0" applyFont="1" applyAlignment="1">
      <alignment horizontal="right"/>
    </xf>
    <xf numFmtId="0" fontId="113"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 xfId="0" applyFont="1" applyBorder="1" applyAlignment="1">
      <alignment horizontal="center" vertical="center" wrapText="1"/>
    </xf>
    <xf numFmtId="0" fontId="114" fillId="0" borderId="1" xfId="0" applyFont="1" applyBorder="1" applyAlignment="1">
      <alignment horizontal="center" vertical="center" wrapText="1"/>
    </xf>
    <xf numFmtId="0" fontId="117" fillId="0" borderId="1" xfId="0" applyFont="1" applyBorder="1" applyAlignment="1">
      <alignment horizontal="center" vertical="center" wrapText="1"/>
    </xf>
    <xf numFmtId="0" fontId="115" fillId="0" borderId="1" xfId="0" applyFont="1" applyBorder="1" applyAlignment="1">
      <alignment horizontal="center" vertical="center" wrapText="1"/>
    </xf>
    <xf numFmtId="169" fontId="22" fillId="0" borderId="0" xfId="1" applyNumberFormat="1" applyFont="1" applyFill="1" applyAlignment="1">
      <alignment horizontal="center"/>
    </xf>
    <xf numFmtId="169" fontId="61" fillId="0" borderId="5" xfId="0" applyNumberFormat="1" applyFont="1" applyBorder="1" applyAlignment="1">
      <alignment horizontal="center"/>
    </xf>
    <xf numFmtId="0" fontId="62" fillId="0" borderId="0" xfId="0" applyFont="1" applyAlignment="1">
      <alignment horizontal="center" vertical="center" wrapText="1"/>
    </xf>
    <xf numFmtId="0" fontId="64" fillId="0" borderId="0" xfId="0" applyFont="1" applyAlignment="1">
      <alignment horizontal="center"/>
    </xf>
    <xf numFmtId="169" fontId="39" fillId="0" borderId="0" xfId="1" applyNumberFormat="1" applyFont="1" applyAlignment="1">
      <alignment horizontal="center"/>
    </xf>
    <xf numFmtId="0" fontId="65" fillId="0" borderId="5" xfId="0" applyFont="1" applyBorder="1" applyAlignment="1">
      <alignment horizontal="right"/>
    </xf>
    <xf numFmtId="169" fontId="61" fillId="0" borderId="0" xfId="0" applyNumberFormat="1" applyFont="1" applyAlignment="1">
      <alignment horizontal="center"/>
    </xf>
    <xf numFmtId="169" fontId="67" fillId="0" borderId="0" xfId="1" applyNumberFormat="1" applyFont="1" applyAlignment="1">
      <alignment horizontal="center"/>
    </xf>
    <xf numFmtId="0" fontId="65" fillId="0" borderId="0" xfId="0" applyFont="1" applyAlignment="1">
      <alignment horizontal="center" vertical="top" wrapText="1"/>
    </xf>
    <xf numFmtId="0" fontId="39" fillId="0" borderId="0" xfId="0" applyFont="1" applyAlignment="1">
      <alignment horizontal="center"/>
    </xf>
    <xf numFmtId="0" fontId="63" fillId="0" borderId="0" xfId="0" applyFont="1" applyAlignment="1">
      <alignment horizontal="center"/>
    </xf>
    <xf numFmtId="169" fontId="65" fillId="0" borderId="0" xfId="1" applyNumberFormat="1" applyFont="1" applyAlignment="1">
      <alignment horizontal="center" vertical="top" wrapText="1"/>
    </xf>
    <xf numFmtId="169" fontId="62" fillId="0" borderId="0" xfId="1" applyNumberFormat="1" applyFont="1" applyAlignment="1">
      <alignment horizontal="center" vertical="center" wrapText="1"/>
    </xf>
    <xf numFmtId="169" fontId="61" fillId="0" borderId="5" xfId="1" applyNumberFormat="1" applyFont="1" applyBorder="1" applyAlignment="1">
      <alignment horizontal="center"/>
    </xf>
    <xf numFmtId="0" fontId="4" fillId="0" borderId="1" xfId="0" applyFont="1" applyBorder="1" applyAlignment="1">
      <alignment horizontal="center" vertical="center" wrapText="1"/>
    </xf>
    <xf numFmtId="0" fontId="12" fillId="0" borderId="5" xfId="0" applyFont="1" applyBorder="1" applyAlignment="1">
      <alignment horizontal="center"/>
    </xf>
    <xf numFmtId="0" fontId="13" fillId="0" borderId="0" xfId="0" applyFont="1" applyAlignment="1">
      <alignment horizontal="center"/>
    </xf>
    <xf numFmtId="0" fontId="8" fillId="0" borderId="0" xfId="0" applyFont="1" applyAlignment="1">
      <alignment horizontal="center"/>
    </xf>
    <xf numFmtId="0" fontId="12" fillId="0" borderId="0" xfId="0" applyFont="1" applyAlignment="1">
      <alignment horizontal="center" vertical="top" wrapText="1"/>
    </xf>
    <xf numFmtId="0" fontId="17" fillId="0" borderId="0" xfId="0" applyFont="1" applyAlignment="1">
      <alignment horizontal="center"/>
    </xf>
    <xf numFmtId="169" fontId="30" fillId="0" borderId="0" xfId="1" applyNumberFormat="1" applyFont="1" applyAlignment="1">
      <alignment horizontal="center"/>
    </xf>
    <xf numFmtId="0" fontId="35" fillId="0" borderId="0" xfId="0" applyFont="1" applyAlignment="1">
      <alignment horizontal="center" wrapText="1"/>
    </xf>
    <xf numFmtId="0" fontId="24" fillId="0" borderId="5" xfId="0" applyFont="1" applyBorder="1" applyAlignment="1">
      <alignment horizontal="right"/>
    </xf>
    <xf numFmtId="3" fontId="4" fillId="0" borderId="2" xfId="11" applyNumberFormat="1" applyFont="1" applyBorder="1" applyAlignment="1">
      <alignment horizontal="center" vertical="center"/>
    </xf>
    <xf numFmtId="3" fontId="4" fillId="0" borderId="7" xfId="11" applyNumberFormat="1" applyFont="1" applyBorder="1" applyAlignment="1">
      <alignment horizontal="center" vertical="center"/>
    </xf>
    <xf numFmtId="173" fontId="4" fillId="0" borderId="2" xfId="11" applyNumberFormat="1" applyFont="1" applyBorder="1" applyAlignment="1">
      <alignment horizontal="center" vertical="center" wrapText="1"/>
    </xf>
    <xf numFmtId="173" fontId="4" fillId="0" borderId="7" xfId="11" applyNumberFormat="1" applyFont="1" applyBorder="1" applyAlignment="1">
      <alignment horizontal="center" vertical="center" wrapText="1"/>
    </xf>
    <xf numFmtId="1" fontId="4" fillId="0" borderId="3" xfId="11" applyNumberFormat="1" applyFont="1" applyBorder="1" applyAlignment="1">
      <alignment horizontal="center" vertical="center" wrapText="1"/>
    </xf>
    <xf numFmtId="1" fontId="4" fillId="0" borderId="4" xfId="11" applyNumberFormat="1" applyFont="1" applyBorder="1" applyAlignment="1">
      <alignment horizontal="center" vertical="center" wrapText="1"/>
    </xf>
    <xf numFmtId="3" fontId="4" fillId="0" borderId="2" xfId="11" applyNumberFormat="1" applyFont="1" applyBorder="1" applyAlignment="1">
      <alignment horizontal="center" vertical="center" wrapText="1"/>
    </xf>
    <xf numFmtId="3" fontId="4" fillId="0" borderId="7" xfId="11" applyNumberFormat="1" applyFont="1" applyBorder="1" applyAlignment="1">
      <alignment horizontal="center" vertical="center" wrapText="1"/>
    </xf>
    <xf numFmtId="167" fontId="3" fillId="0" borderId="3" xfId="1" applyNumberFormat="1" applyFont="1" applyFill="1" applyBorder="1" applyAlignment="1">
      <alignment horizontal="center" vertical="center" shrinkToFit="1"/>
    </xf>
    <xf numFmtId="167" fontId="3" fillId="0" borderId="4" xfId="1" applyNumberFormat="1" applyFont="1" applyFill="1" applyBorder="1" applyAlignment="1">
      <alignment horizontal="center" vertical="center" shrinkToFit="1"/>
    </xf>
    <xf numFmtId="1" fontId="4" fillId="0" borderId="3" xfId="11" applyNumberFormat="1" applyFont="1" applyBorder="1" applyAlignment="1">
      <alignment horizontal="center" vertical="center"/>
    </xf>
    <xf numFmtId="1" fontId="4" fillId="0" borderId="4" xfId="11" applyNumberFormat="1" applyFont="1" applyBorder="1" applyAlignment="1">
      <alignment horizontal="center" vertical="center"/>
    </xf>
    <xf numFmtId="0" fontId="39" fillId="0" borderId="0" xfId="0" applyFont="1" applyAlignment="1">
      <alignment horizontal="center" wrapText="1"/>
    </xf>
    <xf numFmtId="0" fontId="88" fillId="0" borderId="0" xfId="0" applyFont="1" applyAlignment="1">
      <alignment horizontal="center"/>
    </xf>
    <xf numFmtId="0" fontId="7" fillId="0" borderId="0" xfId="0" applyFont="1" applyAlignment="1">
      <alignment horizontal="left" vertical="top" wrapText="1"/>
    </xf>
    <xf numFmtId="0" fontId="21" fillId="0" borderId="0" xfId="0" applyFont="1" applyAlignment="1">
      <alignment horizontal="center"/>
    </xf>
    <xf numFmtId="0" fontId="12" fillId="0" borderId="0" xfId="0" applyFont="1" applyAlignment="1">
      <alignment horizontal="right" vertical="top" wrapText="1"/>
    </xf>
    <xf numFmtId="0" fontId="82" fillId="0" borderId="0" xfId="0" applyFont="1" applyAlignment="1">
      <alignment horizontal="center"/>
    </xf>
    <xf numFmtId="169" fontId="82" fillId="0" borderId="0" xfId="1" applyNumberFormat="1" applyFont="1" applyAlignment="1">
      <alignment horizontal="center"/>
    </xf>
    <xf numFmtId="169" fontId="90" fillId="0" borderId="0" xfId="0" applyNumberFormat="1" applyFont="1" applyAlignment="1">
      <alignment horizontal="center"/>
    </xf>
    <xf numFmtId="0" fontId="89" fillId="0" borderId="0" xfId="0" applyFont="1" applyAlignment="1">
      <alignment horizontal="center"/>
    </xf>
    <xf numFmtId="169" fontId="89" fillId="0" borderId="0" xfId="1" applyNumberFormat="1" applyFont="1" applyAlignment="1">
      <alignment horizontal="center"/>
    </xf>
    <xf numFmtId="0" fontId="94" fillId="0" borderId="0" xfId="0" applyFont="1" applyAlignment="1">
      <alignment horizontal="center" vertical="top" wrapText="1"/>
    </xf>
    <xf numFmtId="169" fontId="94" fillId="0" borderId="0" xfId="1" applyNumberFormat="1" applyFont="1" applyAlignment="1">
      <alignment horizontal="center" vertical="top" wrapText="1"/>
    </xf>
    <xf numFmtId="0" fontId="89" fillId="0" borderId="0" xfId="0" applyFont="1" applyAlignment="1">
      <alignment horizontal="center" wrapText="1"/>
    </xf>
    <xf numFmtId="0" fontId="89" fillId="0" borderId="0" xfId="0" applyFont="1" applyAlignment="1">
      <alignment horizontal="center" vertical="center" wrapText="1"/>
    </xf>
    <xf numFmtId="169" fontId="89" fillId="0" borderId="0" xfId="1" applyNumberFormat="1" applyFont="1" applyAlignment="1">
      <alignment horizontal="center" vertical="center" wrapText="1"/>
    </xf>
    <xf numFmtId="168" fontId="89" fillId="0" borderId="2" xfId="1" applyNumberFormat="1" applyFont="1" applyBorder="1" applyAlignment="1">
      <alignment horizontal="center" vertical="center" shrinkToFit="1"/>
    </xf>
    <xf numFmtId="168" fontId="89" fillId="0" borderId="6" xfId="1" applyNumberFormat="1" applyFont="1" applyBorder="1" applyAlignment="1">
      <alignment horizontal="center" vertical="center" shrinkToFit="1"/>
    </xf>
    <xf numFmtId="168" fontId="89" fillId="0" borderId="7" xfId="1" applyNumberFormat="1" applyFont="1" applyBorder="1" applyAlignment="1">
      <alignment horizontal="center" vertical="center" shrinkToFit="1"/>
    </xf>
    <xf numFmtId="0" fontId="89" fillId="0" borderId="0" xfId="0" applyFont="1" applyAlignment="1">
      <alignment horizontal="left" vertical="top" wrapText="1"/>
    </xf>
    <xf numFmtId="0" fontId="91" fillId="0" borderId="0" xfId="0" applyFont="1" applyAlignment="1">
      <alignment horizontal="right"/>
    </xf>
    <xf numFmtId="0" fontId="92" fillId="0" borderId="0" xfId="0" applyFont="1" applyAlignment="1">
      <alignment horizontal="center"/>
    </xf>
    <xf numFmtId="0" fontId="93" fillId="0" borderId="0" xfId="0" applyFont="1" applyAlignment="1">
      <alignment horizontal="center"/>
    </xf>
    <xf numFmtId="0" fontId="94" fillId="0" borderId="5" xfId="0" applyFont="1" applyBorder="1" applyAlignment="1">
      <alignment horizontal="right"/>
    </xf>
    <xf numFmtId="0" fontId="79" fillId="0" borderId="0" xfId="0" applyFont="1" applyAlignment="1">
      <alignment horizontal="center"/>
    </xf>
    <xf numFmtId="0" fontId="93" fillId="0" borderId="0" xfId="13" applyFont="1" applyAlignment="1">
      <alignment horizontal="center"/>
    </xf>
    <xf numFmtId="0" fontId="94" fillId="0" borderId="0" xfId="13" applyFont="1" applyAlignment="1">
      <alignment horizontal="center"/>
    </xf>
    <xf numFmtId="49" fontId="89" fillId="0" borderId="0" xfId="13" applyNumberFormat="1" applyFont="1" applyAlignment="1">
      <alignment horizontal="center"/>
    </xf>
    <xf numFmtId="0" fontId="30" fillId="0" borderId="0" xfId="0" applyFont="1" applyAlignment="1">
      <alignment horizontal="center"/>
    </xf>
    <xf numFmtId="0" fontId="46" fillId="0" borderId="0" xfId="0" applyFont="1" applyAlignment="1">
      <alignment horizontal="center" vertical="top" wrapText="1"/>
    </xf>
    <xf numFmtId="0" fontId="33" fillId="0" borderId="0" xfId="0" applyFont="1" applyAlignment="1">
      <alignment horizontal="center"/>
    </xf>
    <xf numFmtId="0" fontId="34" fillId="0" borderId="0" xfId="0" applyFont="1" applyAlignment="1">
      <alignment horizontal="center" vertical="top" wrapText="1"/>
    </xf>
    <xf numFmtId="0" fontId="21" fillId="0" borderId="0" xfId="0" applyFont="1" applyAlignment="1">
      <alignment horizontal="center" vertical="top" wrapText="1"/>
    </xf>
    <xf numFmtId="0" fontId="29" fillId="0" borderId="0" xfId="0" applyFont="1" applyAlignment="1">
      <alignment horizontal="center" vertical="top" wrapText="1"/>
    </xf>
    <xf numFmtId="0" fontId="27" fillId="0" borderId="0" xfId="0" applyFont="1" applyAlignment="1">
      <alignment horizontal="center"/>
    </xf>
    <xf numFmtId="0" fontId="29" fillId="0" borderId="0" xfId="0" applyFont="1" applyAlignment="1">
      <alignment horizontal="left" vertical="top" wrapText="1"/>
    </xf>
    <xf numFmtId="0" fontId="24" fillId="0" borderId="0" xfId="0" applyFont="1" applyAlignment="1">
      <alignment horizontal="center" vertical="top" wrapText="1"/>
    </xf>
    <xf numFmtId="0" fontId="47" fillId="0" borderId="0" xfId="0" applyFont="1" applyAlignment="1">
      <alignment horizontal="center"/>
    </xf>
    <xf numFmtId="0" fontId="46" fillId="0" borderId="0" xfId="0" applyFont="1" applyAlignment="1">
      <alignment horizontal="center"/>
    </xf>
    <xf numFmtId="167" fontId="77" fillId="0" borderId="8" xfId="0" applyNumberFormat="1" applyFont="1" applyBorder="1" applyAlignment="1">
      <alignment horizontal="center"/>
    </xf>
    <xf numFmtId="167" fontId="77" fillId="0" borderId="0" xfId="0" applyNumberFormat="1" applyFont="1" applyAlignment="1">
      <alignment horizontal="center"/>
    </xf>
    <xf numFmtId="0" fontId="29" fillId="0" borderId="0" xfId="0" applyFont="1" applyAlignment="1">
      <alignment horizontal="center"/>
    </xf>
    <xf numFmtId="0" fontId="23" fillId="0" borderId="0" xfId="0" applyFont="1" applyAlignment="1">
      <alignment horizontal="center" vertical="top" wrapText="1"/>
    </xf>
    <xf numFmtId="0" fontId="24" fillId="0" borderId="5" xfId="0" applyFont="1" applyBorder="1" applyAlignment="1">
      <alignment horizontal="center"/>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7" xfId="0" applyFont="1" applyBorder="1" applyAlignment="1">
      <alignment horizontal="center" vertical="center" wrapText="1"/>
    </xf>
    <xf numFmtId="0" fontId="35" fillId="0" borderId="5" xfId="0" applyFont="1" applyBorder="1" applyAlignment="1">
      <alignment horizontal="center"/>
    </xf>
    <xf numFmtId="0" fontId="65" fillId="2" borderId="0" xfId="0" applyFont="1" applyFill="1" applyAlignment="1">
      <alignment horizontal="center" vertical="center"/>
    </xf>
    <xf numFmtId="0" fontId="63" fillId="0" borderId="0" xfId="0" applyFont="1" applyAlignment="1">
      <alignment horizontal="center" vertical="center"/>
    </xf>
    <xf numFmtId="0" fontId="64" fillId="0" borderId="0" xfId="0" applyFont="1" applyAlignment="1">
      <alignment horizontal="center" vertical="center"/>
    </xf>
    <xf numFmtId="0" fontId="62" fillId="0" borderId="3" xfId="0" applyFont="1" applyBorder="1" applyAlignment="1">
      <alignment horizontal="center" vertical="center" wrapText="1"/>
    </xf>
    <xf numFmtId="0" fontId="62" fillId="0" borderId="4" xfId="0" applyFont="1" applyBorder="1" applyAlignment="1">
      <alignment horizontal="center" vertical="center" wrapText="1"/>
    </xf>
    <xf numFmtId="175" fontId="62" fillId="0" borderId="1" xfId="0" applyNumberFormat="1" applyFont="1" applyBorder="1" applyAlignment="1">
      <alignment horizontal="center" vertical="center" wrapText="1"/>
    </xf>
    <xf numFmtId="0" fontId="62" fillId="0" borderId="1" xfId="0" applyFont="1" applyBorder="1" applyAlignment="1">
      <alignment horizontal="center" vertical="center" wrapText="1"/>
    </xf>
    <xf numFmtId="0" fontId="79" fillId="0" borderId="1" xfId="0" applyFont="1" applyBorder="1" applyAlignment="1">
      <alignment horizontal="center" vertical="center" wrapText="1"/>
    </xf>
    <xf numFmtId="0" fontId="79" fillId="0" borderId="2" xfId="0" applyFont="1" applyBorder="1" applyAlignment="1">
      <alignment horizontal="center" vertical="center" wrapText="1"/>
    </xf>
    <xf numFmtId="0" fontId="79" fillId="0" borderId="6" xfId="0" applyFont="1" applyBorder="1" applyAlignment="1">
      <alignment horizontal="center" vertical="center" wrapText="1"/>
    </xf>
    <xf numFmtId="0" fontId="79" fillId="0" borderId="7" xfId="0" applyFont="1" applyBorder="1" applyAlignment="1">
      <alignment horizontal="center" vertical="center" wrapText="1"/>
    </xf>
    <xf numFmtId="0" fontId="92" fillId="0" borderId="0" xfId="0" applyFont="1" applyAlignment="1">
      <alignment horizontal="center" wrapText="1"/>
    </xf>
    <xf numFmtId="0" fontId="93" fillId="0" borderId="0" xfId="0" quotePrefix="1" applyFont="1" applyAlignment="1">
      <alignment horizontal="center" wrapText="1"/>
    </xf>
    <xf numFmtId="177" fontId="82" fillId="0" borderId="5" xfId="0" applyNumberFormat="1" applyFont="1" applyBorder="1" applyAlignment="1">
      <alignment horizontal="center"/>
    </xf>
    <xf numFmtId="168" fontId="82" fillId="0" borderId="5" xfId="0" applyNumberFormat="1" applyFont="1" applyBorder="1" applyAlignment="1">
      <alignment horizontal="center"/>
    </xf>
    <xf numFmtId="176" fontId="82" fillId="0" borderId="5" xfId="0" applyNumberFormat="1" applyFont="1" applyBorder="1" applyAlignment="1">
      <alignment horizontal="center"/>
    </xf>
    <xf numFmtId="179" fontId="90" fillId="0" borderId="5" xfId="0" applyNumberFormat="1" applyFont="1" applyBorder="1" applyAlignment="1">
      <alignment horizontal="center"/>
    </xf>
    <xf numFmtId="169" fontId="90" fillId="0" borderId="5" xfId="1" applyNumberFormat="1" applyFont="1" applyFill="1" applyBorder="1" applyAlignment="1">
      <alignment horizontal="center"/>
    </xf>
    <xf numFmtId="171" fontId="89" fillId="0" borderId="0" xfId="0" applyNumberFormat="1" applyFont="1" applyAlignment="1">
      <alignment horizontal="center"/>
    </xf>
    <xf numFmtId="169" fontId="79" fillId="0" borderId="1" xfId="1" applyNumberFormat="1" applyFont="1" applyBorder="1" applyAlignment="1">
      <alignment horizontal="center" vertical="center" wrapText="1"/>
    </xf>
    <xf numFmtId="0" fontId="91" fillId="0" borderId="5" xfId="0" applyFont="1" applyBorder="1" applyAlignment="1">
      <alignment horizontal="center"/>
    </xf>
    <xf numFmtId="0" fontId="89" fillId="0" borderId="1" xfId="0" applyFont="1" applyBorder="1" applyAlignment="1">
      <alignment horizontal="center" vertical="center" wrapText="1"/>
    </xf>
    <xf numFmtId="2" fontId="94" fillId="0" borderId="0" xfId="0" applyNumberFormat="1" applyFont="1" applyAlignment="1">
      <alignment horizontal="center" vertical="center"/>
    </xf>
    <xf numFmtId="0" fontId="94" fillId="0" borderId="0" xfId="0" applyFont="1" applyAlignment="1">
      <alignment horizontal="center" vertical="center"/>
    </xf>
    <xf numFmtId="0" fontId="89" fillId="0" borderId="2" xfId="0" applyFont="1" applyBorder="1" applyAlignment="1">
      <alignment horizontal="center" vertical="center"/>
    </xf>
    <xf numFmtId="0" fontId="89" fillId="0" borderId="7" xfId="0" applyFont="1" applyBorder="1" applyAlignment="1">
      <alignment horizontal="center" vertical="center"/>
    </xf>
    <xf numFmtId="0" fontId="89" fillId="0" borderId="3" xfId="0" applyFont="1" applyBorder="1" applyAlignment="1">
      <alignment horizontal="center" vertical="center"/>
    </xf>
    <xf numFmtId="0" fontId="89" fillId="0" borderId="4" xfId="0" applyFont="1" applyBorder="1" applyAlignment="1">
      <alignment horizontal="center" vertical="center"/>
    </xf>
  </cellXfs>
  <cellStyles count="18">
    <cellStyle name="Comma" xfId="1" builtinId="3"/>
    <cellStyle name="Comma [0] 2 2" xfId="14" xr:uid="{00000000-0005-0000-0000-000001000000}"/>
    <cellStyle name="Comma 10" xfId="2" xr:uid="{00000000-0005-0000-0000-000002000000}"/>
    <cellStyle name="Comma 10 2" xfId="3" xr:uid="{00000000-0005-0000-0000-000003000000}"/>
    <cellStyle name="Comma 2" xfId="4" xr:uid="{00000000-0005-0000-0000-000004000000}"/>
    <cellStyle name="Comma 3" xfId="16" xr:uid="{00000000-0005-0000-0000-000005000000}"/>
    <cellStyle name="Comma 4" xfId="15" xr:uid="{00000000-0005-0000-0000-000006000000}"/>
    <cellStyle name="Comma 5" xfId="5" xr:uid="{00000000-0005-0000-0000-000007000000}"/>
    <cellStyle name="Comma 6" xfId="17" xr:uid="{00000000-0005-0000-0000-000008000000}"/>
    <cellStyle name="Comma 9" xfId="6" xr:uid="{00000000-0005-0000-0000-000009000000}"/>
    <cellStyle name="Normal" xfId="0" builtinId="0"/>
    <cellStyle name="Normal 2 2" xfId="7" xr:uid="{00000000-0005-0000-0000-00000B000000}"/>
    <cellStyle name="Normal 3" xfId="13" xr:uid="{00000000-0005-0000-0000-00000C000000}"/>
    <cellStyle name="Normal 3 3" xfId="8" xr:uid="{00000000-0005-0000-0000-00000D000000}"/>
    <cellStyle name="Normal 3 4" xfId="9" xr:uid="{00000000-0005-0000-0000-00000E000000}"/>
    <cellStyle name="Normal 4 2" xfId="10" xr:uid="{00000000-0005-0000-0000-00000F000000}"/>
    <cellStyle name="Normal 6" xfId="11" xr:uid="{00000000-0005-0000-0000-000010000000}"/>
    <cellStyle name="Percent" xfId="1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DU%20LIEU%20DONG%20BO%20MAY%20TINH/N&#258;M%202026/KI&#7874;M%20TO&#193;N%202026/cung%20c&#7845;p%20s&#7889;%20li&#7879;u%20TCNS/bi&#7875;u%20BC%20ki&#7875;m%20to&#225;n%20%202025.xlsx" TargetMode="External"/><Relationship Id="rId1" Type="http://schemas.openxmlformats.org/officeDocument/2006/relationships/externalLinkPath" Target="/DU%20LIEU%20DONG%20BO%20MAY%20TINH/N&#258;M%202026/KI&#7874;M%20TO&#193;N%202026/cung%20c&#7845;p%20s&#7889;%20li&#7879;u%20TCNS/bi&#7875;u%20BC%20ki&#7875;m%20to&#225;n%20%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C\AppData\Local\Temp\Zalo%20Temp\TempDownloads\Quy&#7871;t%20to&#225;n%20NS%20theo%20TT%20342-QN%202025%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PC\AppData\Local\Temp\Zalo%20Temp\TempDownloads\Quy&#7871;t%20to&#225;n%20NS%20theo%20TT%20342-QN%202025.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DU%20LIEU%20DONG%20BO%20MAY%20TINH/N&#258;M%202026/KI&#7874;M%20TO&#193;N%202026/BC%20ki&#7875;m%20to&#225;n/BC%20ch&#7889;t/Qtoan%20NS%20theo%20N&#272;%2031-QN%202025.xls" TargetMode="External"/><Relationship Id="rId1" Type="http://schemas.openxmlformats.org/officeDocument/2006/relationships/externalLinkPath" Target="/DU%20LIEU%20DONG%20BO%20MAY%20TINH/N&#258;M%202026/KI&#7874;M%20TO&#193;N%202026/BC%20ki&#7875;m%20to&#225;n/BC%20ch&#7889;t/Qtoan%20NS%20theo%20N&#272;%2031-QN%2020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60-TT342"/>
      <sheetName val="B61-TT342"/>
      <sheetName val="B62-TT342"/>
      <sheetName val="04"/>
      <sheetName val="05"/>
      <sheetName val="07"/>
      <sheetName val="07a"/>
      <sheetName val="7b"/>
      <sheetName val="CN 24-25"/>
      <sheetName val="các QĐ giao"/>
    </sheetNames>
    <sheetDataSet>
      <sheetData sheetId="0" refreshError="1"/>
      <sheetData sheetId="1" refreshError="1">
        <row r="4">
          <cell r="A4" t="str">
            <v>(Kèm theo Công văn số 12/UBND-KT ngày 13 tháng 01 năm 2026 của UBND xã Quỳnh Nhai)</v>
          </cell>
        </row>
        <row r="9">
          <cell r="C9">
            <v>361096505330</v>
          </cell>
        </row>
        <row r="118">
          <cell r="C118">
            <v>359605505330</v>
          </cell>
        </row>
      </sheetData>
      <sheetData sheetId="2" refreshError="1">
        <row r="9">
          <cell r="C9">
            <v>361096505330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60-TT342"/>
      <sheetName val="B61-TT342"/>
      <sheetName val="B62-TT342"/>
      <sheetName val="B67-TT342"/>
      <sheetName val="B69-TT342"/>
      <sheetName val="B68-TT342"/>
      <sheetName val="B70-TT342"/>
      <sheetName val="B63-TT342"/>
      <sheetName val="B64-TT342"/>
    </sheetNames>
    <sheetDataSet>
      <sheetData sheetId="0"/>
      <sheetData sheetId="1"/>
      <sheetData sheetId="2"/>
      <sheetData sheetId="3"/>
      <sheetData sheetId="4">
        <row r="4">
          <cell r="A4" t="str">
            <v>(Kèm theo Báo cáo số /BC-UBND ngày  19 tháng 4 năm 2026 của UBND xã Quỳnh Nhai)</v>
          </cell>
        </row>
      </sheetData>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60-TT342"/>
      <sheetName val="B61-TT342"/>
      <sheetName val="B62-TT342"/>
      <sheetName val="B67-TT342"/>
      <sheetName val="B69-TT342"/>
      <sheetName val="B68-TT342"/>
      <sheetName val="B70-TT342"/>
      <sheetName val="B63-TT342"/>
      <sheetName val="B64-TT342"/>
    </sheetNames>
    <sheetDataSet>
      <sheetData sheetId="0" refreshError="1"/>
      <sheetData sheetId="1" refreshError="1"/>
      <sheetData sheetId="2" refreshError="1"/>
      <sheetData sheetId="3" refreshError="1"/>
      <sheetData sheetId="4">
        <row r="4">
          <cell r="A4" t="str">
            <v>(Kèm theo Báo cáo số /BC-UBND ngày  19 tháng 4 năm 2026 của UBND xã Quỳnh Nhai)</v>
          </cell>
        </row>
      </sheetData>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48"/>
      <sheetName val="B49"/>
      <sheetName val="B50"/>
      <sheetName val="B51"/>
      <sheetName val="B52"/>
      <sheetName val="B53"/>
      <sheetName val="B54"/>
      <sheetName val="B55"/>
      <sheetName val="b56"/>
      <sheetName val="b 57-ND 31"/>
      <sheetName val="B61-ND31"/>
      <sheetName val="B62-ND 31"/>
      <sheetName val="B64-ND31"/>
    </sheetNames>
    <sheetDataSet>
      <sheetData sheetId="0"/>
      <sheetData sheetId="1" refreshError="1"/>
      <sheetData sheetId="2">
        <row r="4">
          <cell r="A4" t="str">
            <v xml:space="preserve"> (Kèm theo Báo cáo số 160/BC-UBND ngày 04 tháng 3  năm 2026 của UBND xã Quỳnh Nhai)</v>
          </cell>
        </row>
      </sheetData>
      <sheetData sheetId="3" refreshError="1"/>
      <sheetData sheetId="4" refreshError="1"/>
      <sheetData sheetId="5">
        <row r="8">
          <cell r="G8">
            <v>0</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2"/>
  <sheetViews>
    <sheetView tabSelected="1" zoomScale="90" zoomScaleNormal="90" workbookViewId="0">
      <selection activeCell="G11" sqref="G11"/>
    </sheetView>
  </sheetViews>
  <sheetFormatPr defaultColWidth="9.140625" defaultRowHeight="15" x14ac:dyDescent="0.25"/>
  <cols>
    <col min="1" max="1" width="3.140625" style="151" customWidth="1"/>
    <col min="2" max="2" width="37.5703125" style="151" customWidth="1"/>
    <col min="3" max="3" width="14.42578125" style="153" customWidth="1"/>
    <col min="4" max="4" width="12.5703125" style="153" customWidth="1"/>
    <col min="5" max="5" width="15" style="153" hidden="1" customWidth="1"/>
    <col min="6" max="6" width="14.140625" style="153" customWidth="1"/>
    <col min="7" max="7" width="31.85546875" style="151" customWidth="1"/>
    <col min="8" max="8" width="15.42578125" style="155" customWidth="1"/>
    <col min="9" max="9" width="14.42578125" style="155" customWidth="1"/>
    <col min="10" max="10" width="14.42578125" style="155" hidden="1" customWidth="1"/>
    <col min="11" max="11" width="13.42578125" style="155" customWidth="1"/>
    <col min="12" max="12" width="13.42578125" style="151" customWidth="1"/>
    <col min="13" max="13" width="23" style="151" customWidth="1"/>
    <col min="14" max="16384" width="9.140625" style="151"/>
  </cols>
  <sheetData>
    <row r="1" spans="1:13" ht="15.6" customHeight="1" x14ac:dyDescent="0.25">
      <c r="A1" s="600" t="s">
        <v>478</v>
      </c>
      <c r="B1" s="600"/>
      <c r="C1" s="600"/>
      <c r="D1" s="600"/>
      <c r="E1" s="600"/>
      <c r="F1" s="600"/>
      <c r="G1" s="600"/>
      <c r="H1" s="600"/>
      <c r="I1" s="600"/>
      <c r="J1" s="600"/>
      <c r="K1" s="600"/>
    </row>
    <row r="2" spans="1:13" ht="7.35" customHeight="1" x14ac:dyDescent="0.25">
      <c r="B2" s="156"/>
    </row>
    <row r="3" spans="1:13" ht="18.75" x14ac:dyDescent="0.3">
      <c r="B3" s="621" t="s">
        <v>607</v>
      </c>
      <c r="C3" s="621"/>
      <c r="D3" s="621"/>
      <c r="E3" s="621"/>
      <c r="F3" s="621"/>
      <c r="G3" s="621"/>
      <c r="H3" s="621"/>
      <c r="I3" s="621"/>
      <c r="J3" s="621"/>
      <c r="K3" s="621"/>
    </row>
    <row r="4" spans="1:13" ht="18.75" x14ac:dyDescent="0.3">
      <c r="A4" s="614" t="s">
        <v>611</v>
      </c>
      <c r="B4" s="614"/>
      <c r="C4" s="614"/>
      <c r="D4" s="614"/>
      <c r="E4" s="614"/>
      <c r="F4" s="614"/>
      <c r="G4" s="614"/>
      <c r="H4" s="614"/>
      <c r="I4" s="614"/>
      <c r="J4" s="614"/>
      <c r="K4" s="614"/>
    </row>
    <row r="5" spans="1:13" ht="23.45" customHeight="1" x14ac:dyDescent="0.25">
      <c r="B5" s="157"/>
      <c r="C5" s="612"/>
      <c r="D5" s="612"/>
      <c r="E5" s="158"/>
      <c r="F5" s="158"/>
      <c r="G5" s="154"/>
      <c r="H5" s="624"/>
      <c r="I5" s="624"/>
      <c r="J5" s="616" t="s">
        <v>173</v>
      </c>
      <c r="K5" s="616"/>
      <c r="M5" s="154"/>
    </row>
    <row r="6" spans="1:13" ht="39.75" customHeight="1" x14ac:dyDescent="0.25">
      <c r="B6" s="159" t="s">
        <v>0</v>
      </c>
      <c r="C6" s="159" t="s">
        <v>1</v>
      </c>
      <c r="D6" s="159" t="s">
        <v>2</v>
      </c>
      <c r="E6" s="159" t="s">
        <v>3</v>
      </c>
      <c r="F6" s="159" t="s">
        <v>4</v>
      </c>
      <c r="G6" s="159" t="s">
        <v>5</v>
      </c>
      <c r="H6" s="160" t="s">
        <v>1</v>
      </c>
      <c r="I6" s="160" t="s">
        <v>6</v>
      </c>
      <c r="J6" s="160" t="s">
        <v>7</v>
      </c>
      <c r="K6" s="160" t="s">
        <v>8</v>
      </c>
      <c r="M6" s="155"/>
    </row>
    <row r="7" spans="1:13" s="161" customFormat="1" ht="18" customHeight="1" x14ac:dyDescent="0.25">
      <c r="B7" s="99">
        <v>1</v>
      </c>
      <c r="C7" s="99">
        <v>2</v>
      </c>
      <c r="D7" s="99">
        <v>3</v>
      </c>
      <c r="E7" s="99">
        <v>4</v>
      </c>
      <c r="F7" s="99">
        <v>5</v>
      </c>
      <c r="G7" s="99">
        <v>6</v>
      </c>
      <c r="H7" s="162">
        <v>7</v>
      </c>
      <c r="I7" s="162">
        <v>8</v>
      </c>
      <c r="J7" s="162">
        <v>9</v>
      </c>
      <c r="K7" s="162">
        <v>10</v>
      </c>
    </row>
    <row r="8" spans="1:13" s="163" customFormat="1" ht="21.75" customHeight="1" x14ac:dyDescent="0.2">
      <c r="B8" s="159" t="s">
        <v>391</v>
      </c>
      <c r="C8" s="214">
        <f>C9</f>
        <v>361309090700</v>
      </c>
      <c r="D8" s="214">
        <f>D9</f>
        <v>0</v>
      </c>
      <c r="E8" s="214">
        <f>E9</f>
        <v>0</v>
      </c>
      <c r="F8" s="214">
        <f>F9</f>
        <v>361309090700</v>
      </c>
      <c r="G8" s="159" t="s">
        <v>392</v>
      </c>
      <c r="H8" s="215">
        <f>H9</f>
        <v>361186013700</v>
      </c>
      <c r="I8" s="215">
        <f>I9</f>
        <v>0</v>
      </c>
      <c r="J8" s="215">
        <f>J9</f>
        <v>0</v>
      </c>
      <c r="K8" s="215">
        <f>K9</f>
        <v>361186013700</v>
      </c>
      <c r="M8" s="164"/>
    </row>
    <row r="9" spans="1:13" ht="23.25" customHeight="1" x14ac:dyDescent="0.25">
      <c r="B9" s="167" t="s">
        <v>9</v>
      </c>
      <c r="C9" s="214">
        <f>C10+C11+C12+C13+C14+C15+C16</f>
        <v>361309090700</v>
      </c>
      <c r="D9" s="214">
        <f>D10+D11+D12+D13+D14+D15+D16</f>
        <v>0</v>
      </c>
      <c r="E9" s="214">
        <f>E10+E11+E12+E13+E14+E15+E16</f>
        <v>0</v>
      </c>
      <c r="F9" s="214">
        <f>F10+F11+F12+F13+F14+F15+F16</f>
        <v>361309090700</v>
      </c>
      <c r="G9" s="167" t="s">
        <v>10</v>
      </c>
      <c r="H9" s="215">
        <f>SUM(H10:H16)</f>
        <v>361186013700</v>
      </c>
      <c r="I9" s="215">
        <f t="shared" ref="I9:K9" si="0">SUM(I10:I16)</f>
        <v>0</v>
      </c>
      <c r="J9" s="215">
        <f t="shared" si="0"/>
        <v>0</v>
      </c>
      <c r="K9" s="215">
        <f t="shared" si="0"/>
        <v>361186013700</v>
      </c>
      <c r="M9" s="154">
        <f>F8-K8</f>
        <v>123077000</v>
      </c>
    </row>
    <row r="10" spans="1:13" ht="21.75" customHeight="1" x14ac:dyDescent="0.25">
      <c r="B10" s="165" t="s">
        <v>206</v>
      </c>
      <c r="C10" s="216">
        <f>D10+E10+F10</f>
        <v>0</v>
      </c>
      <c r="D10" s="216"/>
      <c r="E10" s="216"/>
      <c r="F10" s="216"/>
      <c r="G10" s="165" t="s">
        <v>213</v>
      </c>
      <c r="H10" s="217">
        <f>I10+J10+K10</f>
        <v>0</v>
      </c>
      <c r="I10" s="217"/>
      <c r="J10" s="217">
        <f>'61'!F10</f>
        <v>0</v>
      </c>
      <c r="K10" s="217"/>
      <c r="L10" s="154"/>
      <c r="M10" s="154">
        <f>E10+E11</f>
        <v>0</v>
      </c>
    </row>
    <row r="11" spans="1:13" ht="21.75" customHeight="1" x14ac:dyDescent="0.25">
      <c r="B11" s="165" t="s">
        <v>207</v>
      </c>
      <c r="C11" s="216">
        <f>D11+E11+F11</f>
        <v>2698379659</v>
      </c>
      <c r="D11" s="216"/>
      <c r="E11" s="216"/>
      <c r="F11" s="216">
        <f>'60'!H10</f>
        <v>2698379659</v>
      </c>
      <c r="G11" s="165" t="s">
        <v>214</v>
      </c>
      <c r="H11" s="217"/>
      <c r="I11" s="217"/>
      <c r="J11" s="217"/>
      <c r="K11" s="217"/>
    </row>
    <row r="12" spans="1:13" ht="21.75" customHeight="1" x14ac:dyDescent="0.25">
      <c r="B12" s="100" t="s">
        <v>208</v>
      </c>
      <c r="C12" s="216"/>
      <c r="D12" s="218"/>
      <c r="E12" s="218"/>
      <c r="F12" s="218"/>
      <c r="G12" s="100" t="s">
        <v>215</v>
      </c>
      <c r="H12" s="217">
        <f t="shared" ref="H12" si="1">I12+J12+K12</f>
        <v>355362949754</v>
      </c>
      <c r="I12" s="217"/>
      <c r="J12" s="217"/>
      <c r="K12" s="217">
        <f>'61'!E39+'61'!E26</f>
        <v>355362949754</v>
      </c>
      <c r="M12" s="154">
        <f>K12*0.5</f>
        <v>177681474877</v>
      </c>
    </row>
    <row r="13" spans="1:13" ht="21.75" customHeight="1" x14ac:dyDescent="0.25">
      <c r="B13" s="100" t="s">
        <v>209</v>
      </c>
      <c r="C13" s="216">
        <f>D13+E13+F13</f>
        <v>28352000</v>
      </c>
      <c r="D13" s="218"/>
      <c r="E13" s="218"/>
      <c r="F13" s="218">
        <f>'60'!H124</f>
        <v>28352000</v>
      </c>
      <c r="G13" s="100" t="s">
        <v>387</v>
      </c>
      <c r="H13" s="217">
        <f>I13+J13+K13</f>
        <v>0</v>
      </c>
      <c r="I13" s="217"/>
      <c r="J13" s="217"/>
      <c r="K13" s="219"/>
      <c r="M13" s="154"/>
    </row>
    <row r="14" spans="1:13" ht="21.75" customHeight="1" x14ac:dyDescent="0.25">
      <c r="B14" s="100" t="s">
        <v>210</v>
      </c>
      <c r="C14" s="216">
        <f>D14+E14+F14</f>
        <v>1312415504</v>
      </c>
      <c r="D14" s="218"/>
      <c r="E14" s="218"/>
      <c r="F14" s="218">
        <f>'60'!H123</f>
        <v>1312415504</v>
      </c>
      <c r="G14" s="100" t="s">
        <v>388</v>
      </c>
      <c r="H14" s="219">
        <f>I14+J14+K14</f>
        <v>5281475446</v>
      </c>
      <c r="I14" s="219"/>
      <c r="J14" s="220"/>
      <c r="K14" s="220">
        <f>'61'!F56</f>
        <v>5281475446</v>
      </c>
    </row>
    <row r="15" spans="1:13" ht="21.75" customHeight="1" x14ac:dyDescent="0.25">
      <c r="B15" s="100" t="s">
        <v>235</v>
      </c>
      <c r="C15" s="216">
        <f>D15+E15+F15</f>
        <v>0</v>
      </c>
      <c r="D15" s="218"/>
      <c r="E15" s="218"/>
      <c r="F15" s="218"/>
      <c r="G15" s="100" t="s">
        <v>389</v>
      </c>
      <c r="H15" s="217">
        <f>I15+J15+K15</f>
        <v>541588500</v>
      </c>
      <c r="I15" s="217"/>
      <c r="J15" s="220"/>
      <c r="K15" s="220">
        <f>'61'!E61</f>
        <v>541588500</v>
      </c>
      <c r="L15" s="154"/>
    </row>
    <row r="16" spans="1:13" ht="21.75" customHeight="1" x14ac:dyDescent="0.25">
      <c r="B16" s="100" t="s">
        <v>211</v>
      </c>
      <c r="C16" s="216">
        <f>C17+C18</f>
        <v>357269943537</v>
      </c>
      <c r="D16" s="216">
        <f>D17+D18</f>
        <v>0</v>
      </c>
      <c r="E16" s="216"/>
      <c r="F16" s="216">
        <f>SUM(F17:F18)</f>
        <v>357269943537</v>
      </c>
      <c r="G16" s="100" t="s">
        <v>390</v>
      </c>
      <c r="H16" s="217">
        <f>J16</f>
        <v>0</v>
      </c>
      <c r="I16" s="217"/>
      <c r="J16" s="217"/>
      <c r="K16" s="217"/>
    </row>
    <row r="17" spans="2:13" ht="22.5" customHeight="1" x14ac:dyDescent="0.25">
      <c r="B17" s="100" t="s">
        <v>11</v>
      </c>
      <c r="C17" s="216">
        <f>D17+E17+F17</f>
        <v>33073377823</v>
      </c>
      <c r="D17" s="218"/>
      <c r="E17" s="218"/>
      <c r="F17" s="218">
        <f>'60'!H118</f>
        <v>33073377823</v>
      </c>
      <c r="G17" s="347"/>
      <c r="H17" s="348"/>
      <c r="I17" s="348"/>
      <c r="J17" s="348"/>
      <c r="K17" s="348"/>
    </row>
    <row r="18" spans="2:13" ht="22.5" customHeight="1" x14ac:dyDescent="0.25">
      <c r="B18" s="166" t="s">
        <v>212</v>
      </c>
      <c r="C18" s="216">
        <f>D18+E18+F18</f>
        <v>324196565714</v>
      </c>
      <c r="D18" s="218"/>
      <c r="E18" s="218"/>
      <c r="F18" s="218">
        <f>'60'!H119</f>
        <v>324196565714</v>
      </c>
      <c r="G18" s="100"/>
      <c r="H18" s="217"/>
      <c r="I18" s="217"/>
      <c r="J18" s="217"/>
      <c r="K18" s="217"/>
    </row>
    <row r="19" spans="2:13" ht="30.6" customHeight="1" x14ac:dyDescent="0.25">
      <c r="B19" s="167" t="s">
        <v>12</v>
      </c>
      <c r="C19" s="221">
        <f>SUM(D19:F19)</f>
        <v>123077000</v>
      </c>
      <c r="D19" s="221"/>
      <c r="E19" s="222"/>
      <c r="F19" s="222">
        <f>F8-K8</f>
        <v>123077000</v>
      </c>
      <c r="G19" s="167"/>
      <c r="H19" s="215"/>
      <c r="I19" s="215"/>
      <c r="J19" s="215">
        <f>E8-J8</f>
        <v>0</v>
      </c>
      <c r="K19" s="215"/>
      <c r="L19" s="155"/>
      <c r="M19" s="130"/>
    </row>
    <row r="20" spans="2:13" ht="33" customHeight="1" x14ac:dyDescent="0.25">
      <c r="B20" s="159" t="s">
        <v>237</v>
      </c>
      <c r="C20" s="221"/>
      <c r="D20" s="221"/>
      <c r="E20" s="223"/>
      <c r="F20" s="223"/>
      <c r="G20" s="167" t="s">
        <v>238</v>
      </c>
      <c r="H20" s="215"/>
      <c r="I20" s="215"/>
      <c r="J20" s="215"/>
      <c r="K20" s="215"/>
      <c r="L20" s="154"/>
      <c r="M20" s="154"/>
    </row>
    <row r="21" spans="2:13" ht="20.25" customHeight="1" x14ac:dyDescent="0.25">
      <c r="B21" s="168"/>
      <c r="C21" s="168"/>
      <c r="D21" s="168"/>
      <c r="E21" s="169"/>
      <c r="F21" s="169"/>
      <c r="G21" s="168"/>
      <c r="H21" s="170"/>
      <c r="I21" s="170"/>
      <c r="J21" s="170"/>
      <c r="K21" s="170"/>
      <c r="L21" s="154"/>
      <c r="M21" s="155"/>
    </row>
    <row r="22" spans="2:13" s="67" customFormat="1" ht="18.75" hidden="1" customHeight="1" x14ac:dyDescent="0.25">
      <c r="B22" s="171" t="s">
        <v>364</v>
      </c>
      <c r="C22" s="172"/>
      <c r="D22" s="619" t="s">
        <v>365</v>
      </c>
      <c r="E22" s="619"/>
      <c r="F22" s="619"/>
      <c r="G22" s="619"/>
      <c r="H22" s="622" t="s">
        <v>366</v>
      </c>
      <c r="I22" s="622"/>
      <c r="J22" s="622"/>
      <c r="K22" s="622"/>
      <c r="M22" s="173"/>
    </row>
    <row r="23" spans="2:13" s="67" customFormat="1" ht="31.35" hidden="1" customHeight="1" x14ac:dyDescent="0.25">
      <c r="B23" s="301" t="s">
        <v>385</v>
      </c>
      <c r="C23" s="172"/>
      <c r="D23" s="613" t="s">
        <v>361</v>
      </c>
      <c r="E23" s="613"/>
      <c r="F23" s="613"/>
      <c r="G23" s="613"/>
      <c r="H23" s="623" t="s">
        <v>367</v>
      </c>
      <c r="I23" s="623"/>
      <c r="J23" s="623"/>
      <c r="K23" s="623"/>
      <c r="L23" s="152"/>
      <c r="M23" s="174"/>
    </row>
    <row r="24" spans="2:13" ht="15.75" hidden="1" customHeight="1" x14ac:dyDescent="0.25">
      <c r="B24" s="175"/>
      <c r="D24" s="600" t="s">
        <v>220</v>
      </c>
      <c r="E24" s="600"/>
      <c r="F24" s="600"/>
      <c r="G24" s="600"/>
      <c r="H24" s="618" t="s">
        <v>363</v>
      </c>
      <c r="I24" s="618"/>
      <c r="J24" s="618"/>
      <c r="K24" s="618"/>
      <c r="M24" s="154"/>
    </row>
    <row r="25" spans="2:13" hidden="1" x14ac:dyDescent="0.25">
      <c r="E25" s="600"/>
      <c r="F25" s="600"/>
      <c r="G25" s="154"/>
      <c r="H25" s="618"/>
      <c r="I25" s="618"/>
      <c r="J25" s="618"/>
      <c r="K25" s="618"/>
    </row>
    <row r="26" spans="2:13" hidden="1" x14ac:dyDescent="0.25"/>
    <row r="27" spans="2:13" ht="10.35" hidden="1" customHeight="1" x14ac:dyDescent="0.25">
      <c r="C27" s="617"/>
      <c r="D27" s="617"/>
      <c r="M27" s="155"/>
    </row>
    <row r="28" spans="2:13" ht="19.350000000000001" hidden="1" customHeight="1" x14ac:dyDescent="0.25">
      <c r="C28" s="158"/>
    </row>
    <row r="29" spans="2:13" hidden="1" x14ac:dyDescent="0.25">
      <c r="B29" s="154"/>
      <c r="M29" s="154"/>
    </row>
    <row r="30" spans="2:13" hidden="1" x14ac:dyDescent="0.25"/>
    <row r="31" spans="2:13" s="68" customFormat="1" ht="15.75" hidden="1" x14ac:dyDescent="0.25">
      <c r="B31" s="176"/>
      <c r="C31" s="177"/>
      <c r="D31" s="620" t="s">
        <v>362</v>
      </c>
      <c r="E31" s="620"/>
      <c r="F31" s="620"/>
      <c r="G31" s="620"/>
      <c r="H31" s="615" t="s">
        <v>330</v>
      </c>
      <c r="I31" s="615"/>
      <c r="J31" s="615"/>
      <c r="K31" s="615"/>
    </row>
    <row r="32" spans="2:13" hidden="1" x14ac:dyDescent="0.25"/>
  </sheetData>
  <mergeCells count="17">
    <mergeCell ref="H31:K31"/>
    <mergeCell ref="J5:K5"/>
    <mergeCell ref="C27:D27"/>
    <mergeCell ref="H24:K24"/>
    <mergeCell ref="H25:K25"/>
    <mergeCell ref="D22:G22"/>
    <mergeCell ref="D24:G24"/>
    <mergeCell ref="D31:G31"/>
    <mergeCell ref="H22:K22"/>
    <mergeCell ref="H23:K23"/>
    <mergeCell ref="H5:I5"/>
    <mergeCell ref="C5:D5"/>
    <mergeCell ref="D23:G23"/>
    <mergeCell ref="A4:K4"/>
    <mergeCell ref="A1:K1"/>
    <mergeCell ref="E25:F25"/>
    <mergeCell ref="B3:K3"/>
  </mergeCells>
  <printOptions horizontalCentered="1"/>
  <pageMargins left="0.19685039370078741" right="0.23622047244094491" top="0.15748031496062992" bottom="0.11811023622047245" header="0.31496062992125984" footer="0.31496062992125984"/>
  <pageSetup paperSize="9" scale="85" orientation="landscape" verticalDpi="0"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0"/>
  <sheetViews>
    <sheetView workbookViewId="0">
      <selection activeCell="D10" sqref="D10"/>
    </sheetView>
  </sheetViews>
  <sheetFormatPr defaultRowHeight="15" x14ac:dyDescent="0.25"/>
  <cols>
    <col min="1" max="1" width="5.140625" customWidth="1"/>
    <col min="2" max="2" width="46.42578125" customWidth="1"/>
    <col min="3" max="3" width="7.5703125" style="45" customWidth="1"/>
    <col min="4" max="4" width="19" customWidth="1"/>
    <col min="5" max="5" width="16.85546875" customWidth="1"/>
    <col min="6" max="6" width="14.85546875" customWidth="1"/>
    <col min="7" max="7" width="14.42578125" customWidth="1"/>
    <col min="8" max="8" width="16" customWidth="1"/>
    <col min="9" max="9" width="10.5703125" customWidth="1"/>
    <col min="10" max="10" width="7.5703125" customWidth="1"/>
    <col min="11" max="11" width="15.5703125" customWidth="1"/>
  </cols>
  <sheetData>
    <row r="1" spans="1:11" ht="15.6" customHeight="1" x14ac:dyDescent="0.25">
      <c r="A1" s="600" t="s">
        <v>539</v>
      </c>
      <c r="B1" s="600"/>
      <c r="C1" s="600"/>
      <c r="D1" s="600"/>
      <c r="E1" s="600"/>
      <c r="F1" s="600"/>
      <c r="G1" s="600"/>
      <c r="H1" s="600"/>
      <c r="I1" s="600"/>
      <c r="J1" s="600"/>
    </row>
    <row r="2" spans="1:11" ht="18.75" x14ac:dyDescent="0.3">
      <c r="A2" s="601" t="s">
        <v>371</v>
      </c>
      <c r="B2" s="601"/>
      <c r="C2" s="601"/>
      <c r="D2" s="601"/>
      <c r="E2" s="601"/>
      <c r="F2" s="601"/>
      <c r="G2" s="601"/>
      <c r="H2" s="601"/>
      <c r="I2" s="601"/>
      <c r="J2" s="601"/>
    </row>
    <row r="3" spans="1:11" ht="18.75" x14ac:dyDescent="0.3">
      <c r="A3" s="602" t="str">
        <f>'68'!A4:I4</f>
        <v>(Kèm theo Nghị quyết số 13/NQ-HĐND ngày 25 tháng 3 năm 2026 của HĐND  xã Quỳnh Nhai)</v>
      </c>
      <c r="B3" s="602"/>
      <c r="C3" s="602"/>
      <c r="D3" s="602"/>
      <c r="E3" s="602"/>
      <c r="F3" s="602"/>
      <c r="G3" s="602"/>
      <c r="H3" s="602"/>
      <c r="I3" s="602"/>
      <c r="J3" s="602"/>
    </row>
    <row r="4" spans="1:11" ht="34.5" customHeight="1" x14ac:dyDescent="0.25">
      <c r="B4" s="2"/>
      <c r="C4" s="38"/>
      <c r="D4" s="2"/>
      <c r="E4" s="2"/>
      <c r="F4" s="2"/>
      <c r="G4" s="2"/>
      <c r="H4" s="2"/>
      <c r="I4" s="692" t="s">
        <v>218</v>
      </c>
      <c r="J4" s="692"/>
    </row>
    <row r="5" spans="1:11" s="11" customFormat="1" ht="27" customHeight="1" x14ac:dyDescent="0.25">
      <c r="A5" s="607" t="s">
        <v>14</v>
      </c>
      <c r="B5" s="607" t="s">
        <v>15</v>
      </c>
      <c r="C5" s="689" t="s">
        <v>253</v>
      </c>
      <c r="D5" s="607" t="s">
        <v>372</v>
      </c>
      <c r="E5" s="605" t="s">
        <v>373</v>
      </c>
      <c r="F5" s="606"/>
      <c r="G5" s="691"/>
      <c r="H5" s="607" t="s">
        <v>384</v>
      </c>
      <c r="I5" s="607"/>
      <c r="J5" s="607" t="s">
        <v>178</v>
      </c>
    </row>
    <row r="6" spans="1:11" s="11" customFormat="1" ht="33" customHeight="1" x14ac:dyDescent="0.25">
      <c r="A6" s="607"/>
      <c r="B6" s="607"/>
      <c r="C6" s="690"/>
      <c r="D6" s="607"/>
      <c r="E6" s="9" t="s">
        <v>255</v>
      </c>
      <c r="F6" s="9" t="s">
        <v>374</v>
      </c>
      <c r="G6" s="9" t="s">
        <v>254</v>
      </c>
      <c r="H6" s="9" t="s">
        <v>204</v>
      </c>
      <c r="I6" s="9" t="s">
        <v>205</v>
      </c>
      <c r="J6" s="607"/>
    </row>
    <row r="7" spans="1:11" s="46" customFormat="1" ht="19.5" customHeight="1" x14ac:dyDescent="0.25">
      <c r="A7" s="23" t="s">
        <v>21</v>
      </c>
      <c r="B7" s="23" t="s">
        <v>22</v>
      </c>
      <c r="C7" s="23">
        <v>1</v>
      </c>
      <c r="D7" s="23">
        <v>2</v>
      </c>
      <c r="E7" s="23">
        <v>3</v>
      </c>
      <c r="F7" s="23">
        <v>4</v>
      </c>
      <c r="G7" s="23">
        <v>5</v>
      </c>
      <c r="H7" s="23" t="s">
        <v>256</v>
      </c>
      <c r="I7" s="23" t="s">
        <v>233</v>
      </c>
      <c r="J7" s="23">
        <v>8</v>
      </c>
    </row>
    <row r="8" spans="1:11" s="22" customFormat="1" ht="27" customHeight="1" x14ac:dyDescent="0.25">
      <c r="A8" s="9"/>
      <c r="B8" s="9" t="s">
        <v>216</v>
      </c>
      <c r="C8" s="9"/>
      <c r="D8" s="340">
        <f>SUM(D9:D14)</f>
        <v>0</v>
      </c>
      <c r="E8" s="340">
        <f>SUM(E9:E16)</f>
        <v>5281475446</v>
      </c>
      <c r="F8" s="340">
        <f t="shared" ref="F8:G8" si="0">SUM(F9:F16)</f>
        <v>0</v>
      </c>
      <c r="G8" s="340">
        <f t="shared" si="0"/>
        <v>5281475446</v>
      </c>
      <c r="H8" s="340">
        <f>SUM(H9:H14)</f>
        <v>4675098446</v>
      </c>
      <c r="I8" s="183"/>
      <c r="J8" s="9"/>
      <c r="K8" s="213"/>
    </row>
    <row r="9" spans="1:11" s="11" customFormat="1" ht="60" customHeight="1" x14ac:dyDescent="0.25">
      <c r="A9" s="5">
        <v>1</v>
      </c>
      <c r="B9" s="334" t="s">
        <v>375</v>
      </c>
      <c r="C9" s="44" t="s">
        <v>246</v>
      </c>
      <c r="D9" s="118"/>
      <c r="E9" s="118">
        <f t="shared" ref="E9:E16" si="1">F9+G9</f>
        <v>0</v>
      </c>
      <c r="F9" s="118"/>
      <c r="G9" s="338">
        <v>0</v>
      </c>
      <c r="H9" s="118">
        <f t="shared" ref="H9:H16" si="2">E9-D9</f>
        <v>0</v>
      </c>
      <c r="I9" s="182"/>
      <c r="J9" s="18"/>
    </row>
    <row r="10" spans="1:11" s="11" customFormat="1" ht="109.7" customHeight="1" x14ac:dyDescent="0.25">
      <c r="A10" s="5">
        <v>2</v>
      </c>
      <c r="B10" s="334" t="s">
        <v>376</v>
      </c>
      <c r="C10" s="44" t="s">
        <v>382</v>
      </c>
      <c r="D10" s="118"/>
      <c r="E10" s="118">
        <f t="shared" si="1"/>
        <v>1400000000</v>
      </c>
      <c r="F10" s="118"/>
      <c r="G10" s="338">
        <f>1400000000</f>
        <v>1400000000</v>
      </c>
      <c r="H10" s="118">
        <f t="shared" si="2"/>
        <v>1400000000</v>
      </c>
      <c r="I10" s="182"/>
      <c r="J10" s="18"/>
    </row>
    <row r="11" spans="1:11" s="11" customFormat="1" ht="64.7" customHeight="1" x14ac:dyDescent="0.25">
      <c r="A11" s="5">
        <v>3</v>
      </c>
      <c r="B11" s="334" t="s">
        <v>377</v>
      </c>
      <c r="C11" s="44" t="s">
        <v>247</v>
      </c>
      <c r="D11" s="118"/>
      <c r="E11" s="118">
        <f t="shared" si="1"/>
        <v>1539340325</v>
      </c>
      <c r="F11" s="118"/>
      <c r="G11" s="338">
        <f>1454775321+84565004</f>
        <v>1539340325</v>
      </c>
      <c r="H11" s="118">
        <f t="shared" si="2"/>
        <v>1539340325</v>
      </c>
      <c r="I11" s="182"/>
      <c r="J11" s="18"/>
    </row>
    <row r="12" spans="1:11" s="11" customFormat="1" ht="64.7" customHeight="1" x14ac:dyDescent="0.25">
      <c r="A12" s="5">
        <v>4</v>
      </c>
      <c r="B12" s="334" t="s">
        <v>378</v>
      </c>
      <c r="C12" s="44" t="s">
        <v>248</v>
      </c>
      <c r="D12" s="118"/>
      <c r="E12" s="118">
        <f t="shared" si="1"/>
        <v>1227000</v>
      </c>
      <c r="F12" s="118"/>
      <c r="G12" s="338">
        <f>1227000</f>
        <v>1227000</v>
      </c>
      <c r="H12" s="118">
        <f t="shared" si="2"/>
        <v>1227000</v>
      </c>
      <c r="I12" s="182"/>
      <c r="J12" s="18"/>
    </row>
    <row r="13" spans="1:11" s="11" customFormat="1" ht="84.6" customHeight="1" x14ac:dyDescent="0.25">
      <c r="A13" s="5">
        <v>5</v>
      </c>
      <c r="B13" s="334" t="s">
        <v>379</v>
      </c>
      <c r="C13" s="44" t="s">
        <v>249</v>
      </c>
      <c r="D13" s="118"/>
      <c r="E13" s="118">
        <f t="shared" si="1"/>
        <v>528269750</v>
      </c>
      <c r="F13" s="118"/>
      <c r="G13" s="338">
        <f>528269750</f>
        <v>528269750</v>
      </c>
      <c r="H13" s="118">
        <f t="shared" si="2"/>
        <v>528269750</v>
      </c>
      <c r="I13" s="182"/>
      <c r="J13" s="18"/>
    </row>
    <row r="14" spans="1:11" s="11" customFormat="1" ht="84.6" customHeight="1" x14ac:dyDescent="0.25">
      <c r="A14" s="5">
        <v>6</v>
      </c>
      <c r="B14" s="334" t="s">
        <v>380</v>
      </c>
      <c r="C14" s="44" t="s">
        <v>250</v>
      </c>
      <c r="D14" s="118"/>
      <c r="E14" s="118">
        <f t="shared" si="1"/>
        <v>1206261371</v>
      </c>
      <c r="F14" s="118"/>
      <c r="G14" s="338">
        <v>1206261371</v>
      </c>
      <c r="H14" s="118">
        <f t="shared" si="2"/>
        <v>1206261371</v>
      </c>
      <c r="I14" s="182"/>
      <c r="J14" s="40"/>
    </row>
    <row r="15" spans="1:11" s="11" customFormat="1" ht="84.6" customHeight="1" x14ac:dyDescent="0.25">
      <c r="A15" s="336"/>
      <c r="B15" s="334" t="s">
        <v>381</v>
      </c>
      <c r="C15" s="337" t="s">
        <v>251</v>
      </c>
      <c r="D15" s="341"/>
      <c r="E15" s="118">
        <f t="shared" si="1"/>
        <v>606377000</v>
      </c>
      <c r="F15" s="341"/>
      <c r="G15" s="339">
        <f>606377000</f>
        <v>606377000</v>
      </c>
      <c r="H15" s="118">
        <f t="shared" si="2"/>
        <v>606377000</v>
      </c>
      <c r="I15" s="40"/>
      <c r="J15" s="40"/>
    </row>
    <row r="16" spans="1:11" s="11" customFormat="1" ht="27" customHeight="1" x14ac:dyDescent="0.25">
      <c r="A16" s="336"/>
      <c r="B16" s="335" t="s">
        <v>217</v>
      </c>
      <c r="C16" s="337" t="s">
        <v>383</v>
      </c>
      <c r="D16" s="341"/>
      <c r="E16" s="118">
        <f t="shared" si="1"/>
        <v>0</v>
      </c>
      <c r="F16" s="341"/>
      <c r="G16" s="341"/>
      <c r="H16" s="118">
        <f t="shared" si="2"/>
        <v>0</v>
      </c>
      <c r="I16" s="40"/>
      <c r="J16" s="40"/>
    </row>
    <row r="17" spans="1:10" x14ac:dyDescent="0.25">
      <c r="A17" s="6"/>
      <c r="B17" s="2"/>
      <c r="C17" s="38"/>
      <c r="D17" s="2"/>
      <c r="E17" s="2"/>
      <c r="F17" s="2"/>
      <c r="G17" s="2"/>
      <c r="H17" s="2"/>
      <c r="I17" s="2"/>
      <c r="J17" s="2"/>
    </row>
    <row r="18" spans="1:10" ht="15.75" hidden="1" x14ac:dyDescent="0.25">
      <c r="A18" s="619" t="s">
        <v>364</v>
      </c>
      <c r="B18" s="619"/>
      <c r="C18" s="619" t="s">
        <v>365</v>
      </c>
      <c r="D18" s="619"/>
      <c r="E18" s="622" t="s">
        <v>366</v>
      </c>
      <c r="F18" s="622"/>
      <c r="G18" s="622"/>
      <c r="H18" s="622"/>
    </row>
    <row r="19" spans="1:10" ht="38.450000000000003" hidden="1" customHeight="1" x14ac:dyDescent="0.25">
      <c r="A19" s="646" t="s">
        <v>386</v>
      </c>
      <c r="B19" s="646"/>
      <c r="C19" s="613" t="s">
        <v>361</v>
      </c>
      <c r="D19" s="613"/>
      <c r="E19" s="623" t="s">
        <v>367</v>
      </c>
      <c r="F19" s="623"/>
      <c r="G19" s="623"/>
      <c r="H19" s="623"/>
    </row>
    <row r="20" spans="1:10" hidden="1" x14ac:dyDescent="0.25">
      <c r="A20" s="175"/>
      <c r="B20" s="153"/>
      <c r="C20" s="600" t="s">
        <v>220</v>
      </c>
      <c r="D20" s="600"/>
      <c r="E20" s="618" t="s">
        <v>363</v>
      </c>
      <c r="F20" s="618"/>
      <c r="G20" s="618"/>
      <c r="H20" s="618"/>
    </row>
    <row r="21" spans="1:10" hidden="1" x14ac:dyDescent="0.25">
      <c r="A21" s="151"/>
      <c r="B21" s="153"/>
      <c r="C21" s="153"/>
      <c r="D21" s="600"/>
      <c r="E21" s="600"/>
      <c r="F21" s="154"/>
      <c r="G21" s="344"/>
      <c r="H21" s="344"/>
    </row>
    <row r="22" spans="1:10" hidden="1" x14ac:dyDescent="0.25">
      <c r="A22" s="151"/>
      <c r="B22" s="153"/>
      <c r="C22" s="153"/>
      <c r="D22" s="153"/>
      <c r="E22" s="153"/>
      <c r="F22" s="151"/>
      <c r="G22" s="155"/>
      <c r="H22" s="155"/>
    </row>
    <row r="23" spans="1:10" hidden="1" x14ac:dyDescent="0.25">
      <c r="A23" s="151"/>
      <c r="B23" s="617"/>
      <c r="C23" s="617"/>
      <c r="D23" s="153"/>
      <c r="E23" s="153"/>
      <c r="F23" s="151"/>
      <c r="G23" s="155"/>
      <c r="H23" s="155"/>
    </row>
    <row r="24" spans="1:10" hidden="1" x14ac:dyDescent="0.25">
      <c r="A24" s="151"/>
      <c r="B24" s="158"/>
      <c r="C24" s="153"/>
      <c r="D24" s="153"/>
      <c r="E24" s="153"/>
      <c r="F24" s="151"/>
      <c r="G24" s="155"/>
      <c r="H24" s="155"/>
    </row>
    <row r="25" spans="1:10" hidden="1" x14ac:dyDescent="0.25">
      <c r="A25" s="154"/>
      <c r="B25" s="153"/>
      <c r="C25" s="153"/>
      <c r="D25" s="153"/>
      <c r="E25" s="153"/>
      <c r="F25" s="151"/>
      <c r="G25" s="155"/>
      <c r="H25" s="155"/>
    </row>
    <row r="26" spans="1:10" hidden="1" x14ac:dyDescent="0.25">
      <c r="A26" s="151"/>
      <c r="B26" s="153"/>
      <c r="C26" s="153"/>
      <c r="D26" s="153"/>
      <c r="E26" s="153"/>
      <c r="F26" s="151"/>
      <c r="G26" s="155"/>
      <c r="H26" s="155"/>
    </row>
    <row r="27" spans="1:10" ht="15.75" hidden="1" x14ac:dyDescent="0.25">
      <c r="A27" s="176"/>
      <c r="B27" s="177"/>
      <c r="C27" s="620" t="s">
        <v>362</v>
      </c>
      <c r="D27" s="620"/>
      <c r="E27" s="615" t="s">
        <v>330</v>
      </c>
      <c r="F27" s="615"/>
      <c r="G27" s="615"/>
      <c r="H27" s="615"/>
    </row>
    <row r="28" spans="1:10" hidden="1" x14ac:dyDescent="0.25"/>
    <row r="29" spans="1:10" hidden="1" x14ac:dyDescent="0.25"/>
    <row r="30" spans="1:10" hidden="1" x14ac:dyDescent="0.25"/>
  </sheetData>
  <mergeCells count="23">
    <mergeCell ref="A1:J1"/>
    <mergeCell ref="D21:E21"/>
    <mergeCell ref="B23:C23"/>
    <mergeCell ref="C27:D27"/>
    <mergeCell ref="E27:H27"/>
    <mergeCell ref="A19:B19"/>
    <mergeCell ref="C19:D19"/>
    <mergeCell ref="E19:H19"/>
    <mergeCell ref="C20:D20"/>
    <mergeCell ref="E20:H20"/>
    <mergeCell ref="A18:B18"/>
    <mergeCell ref="C18:D18"/>
    <mergeCell ref="E18:H18"/>
    <mergeCell ref="A2:J2"/>
    <mergeCell ref="A3:J3"/>
    <mergeCell ref="I4:J4"/>
    <mergeCell ref="A5:A6"/>
    <mergeCell ref="B5:B6"/>
    <mergeCell ref="D5:D6"/>
    <mergeCell ref="H5:I5"/>
    <mergeCell ref="J5:J6"/>
    <mergeCell ref="C5:C6"/>
    <mergeCell ref="E5:G5"/>
  </mergeCells>
  <pageMargins left="0.62992125984251968" right="0.23622047244094491" top="0.35433070866141736" bottom="0.31496062992125984" header="0.31496062992125984" footer="0.31496062992125984"/>
  <pageSetup paperSize="9" scale="85" orientation="landscape" verticalDpi="0"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37"/>
  <sheetViews>
    <sheetView workbookViewId="0">
      <pane xSplit="2" ySplit="6" topLeftCell="C7" activePane="bottomRight" state="frozen"/>
      <selection pane="topRight" activeCell="C1" sqref="C1"/>
      <selection pane="bottomLeft" activeCell="A7" sqref="A7"/>
      <selection pane="bottomRight" activeCell="B17" sqref="B17"/>
    </sheetView>
  </sheetViews>
  <sheetFormatPr defaultColWidth="9" defaultRowHeight="15.75" x14ac:dyDescent="0.25"/>
  <cols>
    <col min="1" max="1" width="4.42578125" style="67" customWidth="1"/>
    <col min="2" max="2" width="45.5703125" style="67" customWidth="1"/>
    <col min="3" max="3" width="17.140625" style="420" customWidth="1"/>
    <col min="4" max="4" width="17" style="420" customWidth="1"/>
    <col min="5" max="5" width="16.140625" style="420" customWidth="1"/>
    <col min="6" max="6" width="10.5703125" style="457" customWidth="1"/>
    <col min="7" max="7" width="23" style="67" hidden="1" customWidth="1"/>
    <col min="8" max="8" width="21.42578125" style="67" hidden="1" customWidth="1"/>
    <col min="9" max="9" width="24.42578125" style="67" hidden="1" customWidth="1"/>
    <col min="10" max="10" width="19" style="67" hidden="1" customWidth="1"/>
    <col min="11" max="18" width="9" style="67" hidden="1" customWidth="1"/>
    <col min="19" max="20" width="9" style="67" customWidth="1"/>
    <col min="21" max="21" width="21.42578125" style="67" customWidth="1"/>
    <col min="22" max="256" width="9" style="67"/>
    <col min="257" max="257" width="4.42578125" style="67" customWidth="1"/>
    <col min="258" max="258" width="45.5703125" style="67" customWidth="1"/>
    <col min="259" max="259" width="17.140625" style="67" customWidth="1"/>
    <col min="260" max="260" width="17" style="67" customWidth="1"/>
    <col min="261" max="261" width="16.140625" style="67" customWidth="1"/>
    <col min="262" max="262" width="10.5703125" style="67" customWidth="1"/>
    <col min="263" max="274" width="0" style="67" hidden="1" customWidth="1"/>
    <col min="275" max="276" width="9" style="67" customWidth="1"/>
    <col min="277" max="277" width="21.42578125" style="67" customWidth="1"/>
    <col min="278" max="512" width="9" style="67"/>
    <col min="513" max="513" width="4.42578125" style="67" customWidth="1"/>
    <col min="514" max="514" width="45.5703125" style="67" customWidth="1"/>
    <col min="515" max="515" width="17.140625" style="67" customWidth="1"/>
    <col min="516" max="516" width="17" style="67" customWidth="1"/>
    <col min="517" max="517" width="16.140625" style="67" customWidth="1"/>
    <col min="518" max="518" width="10.5703125" style="67" customWidth="1"/>
    <col min="519" max="530" width="0" style="67" hidden="1" customWidth="1"/>
    <col min="531" max="532" width="9" style="67" customWidth="1"/>
    <col min="533" max="533" width="21.42578125" style="67" customWidth="1"/>
    <col min="534" max="768" width="9" style="67"/>
    <col min="769" max="769" width="4.42578125" style="67" customWidth="1"/>
    <col min="770" max="770" width="45.5703125" style="67" customWidth="1"/>
    <col min="771" max="771" width="17.140625" style="67" customWidth="1"/>
    <col min="772" max="772" width="17" style="67" customWidth="1"/>
    <col min="773" max="773" width="16.140625" style="67" customWidth="1"/>
    <col min="774" max="774" width="10.5703125" style="67" customWidth="1"/>
    <col min="775" max="786" width="0" style="67" hidden="1" customWidth="1"/>
    <col min="787" max="788" width="9" style="67" customWidth="1"/>
    <col min="789" max="789" width="21.42578125" style="67" customWidth="1"/>
    <col min="790" max="1024" width="9" style="67"/>
    <col min="1025" max="1025" width="4.42578125" style="67" customWidth="1"/>
    <col min="1026" max="1026" width="45.5703125" style="67" customWidth="1"/>
    <col min="1027" max="1027" width="17.140625" style="67" customWidth="1"/>
    <col min="1028" max="1028" width="17" style="67" customWidth="1"/>
    <col min="1029" max="1029" width="16.140625" style="67" customWidth="1"/>
    <col min="1030" max="1030" width="10.5703125" style="67" customWidth="1"/>
    <col min="1031" max="1042" width="0" style="67" hidden="1" customWidth="1"/>
    <col min="1043" max="1044" width="9" style="67" customWidth="1"/>
    <col min="1045" max="1045" width="21.42578125" style="67" customWidth="1"/>
    <col min="1046" max="1280" width="9" style="67"/>
    <col min="1281" max="1281" width="4.42578125" style="67" customWidth="1"/>
    <col min="1282" max="1282" width="45.5703125" style="67" customWidth="1"/>
    <col min="1283" max="1283" width="17.140625" style="67" customWidth="1"/>
    <col min="1284" max="1284" width="17" style="67" customWidth="1"/>
    <col min="1285" max="1285" width="16.140625" style="67" customWidth="1"/>
    <col min="1286" max="1286" width="10.5703125" style="67" customWidth="1"/>
    <col min="1287" max="1298" width="0" style="67" hidden="1" customWidth="1"/>
    <col min="1299" max="1300" width="9" style="67" customWidth="1"/>
    <col min="1301" max="1301" width="21.42578125" style="67" customWidth="1"/>
    <col min="1302" max="1536" width="9" style="67"/>
    <col min="1537" max="1537" width="4.42578125" style="67" customWidth="1"/>
    <col min="1538" max="1538" width="45.5703125" style="67" customWidth="1"/>
    <col min="1539" max="1539" width="17.140625" style="67" customWidth="1"/>
    <col min="1540" max="1540" width="17" style="67" customWidth="1"/>
    <col min="1541" max="1541" width="16.140625" style="67" customWidth="1"/>
    <col min="1542" max="1542" width="10.5703125" style="67" customWidth="1"/>
    <col min="1543" max="1554" width="0" style="67" hidden="1" customWidth="1"/>
    <col min="1555" max="1556" width="9" style="67" customWidth="1"/>
    <col min="1557" max="1557" width="21.42578125" style="67" customWidth="1"/>
    <col min="1558" max="1792" width="9" style="67"/>
    <col min="1793" max="1793" width="4.42578125" style="67" customWidth="1"/>
    <col min="1794" max="1794" width="45.5703125" style="67" customWidth="1"/>
    <col min="1795" max="1795" width="17.140625" style="67" customWidth="1"/>
    <col min="1796" max="1796" width="17" style="67" customWidth="1"/>
    <col min="1797" max="1797" width="16.140625" style="67" customWidth="1"/>
    <col min="1798" max="1798" width="10.5703125" style="67" customWidth="1"/>
    <col min="1799" max="1810" width="0" style="67" hidden="1" customWidth="1"/>
    <col min="1811" max="1812" width="9" style="67" customWidth="1"/>
    <col min="1813" max="1813" width="21.42578125" style="67" customWidth="1"/>
    <col min="1814" max="2048" width="9" style="67"/>
    <col min="2049" max="2049" width="4.42578125" style="67" customWidth="1"/>
    <col min="2050" max="2050" width="45.5703125" style="67" customWidth="1"/>
    <col min="2051" max="2051" width="17.140625" style="67" customWidth="1"/>
    <col min="2052" max="2052" width="17" style="67" customWidth="1"/>
    <col min="2053" max="2053" width="16.140625" style="67" customWidth="1"/>
    <col min="2054" max="2054" width="10.5703125" style="67" customWidth="1"/>
    <col min="2055" max="2066" width="0" style="67" hidden="1" customWidth="1"/>
    <col min="2067" max="2068" width="9" style="67" customWidth="1"/>
    <col min="2069" max="2069" width="21.42578125" style="67" customWidth="1"/>
    <col min="2070" max="2304" width="9" style="67"/>
    <col min="2305" max="2305" width="4.42578125" style="67" customWidth="1"/>
    <col min="2306" max="2306" width="45.5703125" style="67" customWidth="1"/>
    <col min="2307" max="2307" width="17.140625" style="67" customWidth="1"/>
    <col min="2308" max="2308" width="17" style="67" customWidth="1"/>
    <col min="2309" max="2309" width="16.140625" style="67" customWidth="1"/>
    <col min="2310" max="2310" width="10.5703125" style="67" customWidth="1"/>
    <col min="2311" max="2322" width="0" style="67" hidden="1" customWidth="1"/>
    <col min="2323" max="2324" width="9" style="67" customWidth="1"/>
    <col min="2325" max="2325" width="21.42578125" style="67" customWidth="1"/>
    <col min="2326" max="2560" width="9" style="67"/>
    <col min="2561" max="2561" width="4.42578125" style="67" customWidth="1"/>
    <col min="2562" max="2562" width="45.5703125" style="67" customWidth="1"/>
    <col min="2563" max="2563" width="17.140625" style="67" customWidth="1"/>
    <col min="2564" max="2564" width="17" style="67" customWidth="1"/>
    <col min="2565" max="2565" width="16.140625" style="67" customWidth="1"/>
    <col min="2566" max="2566" width="10.5703125" style="67" customWidth="1"/>
    <col min="2567" max="2578" width="0" style="67" hidden="1" customWidth="1"/>
    <col min="2579" max="2580" width="9" style="67" customWidth="1"/>
    <col min="2581" max="2581" width="21.42578125" style="67" customWidth="1"/>
    <col min="2582" max="2816" width="9" style="67"/>
    <col min="2817" max="2817" width="4.42578125" style="67" customWidth="1"/>
    <col min="2818" max="2818" width="45.5703125" style="67" customWidth="1"/>
    <col min="2819" max="2819" width="17.140625" style="67" customWidth="1"/>
    <col min="2820" max="2820" width="17" style="67" customWidth="1"/>
    <col min="2821" max="2821" width="16.140625" style="67" customWidth="1"/>
    <col min="2822" max="2822" width="10.5703125" style="67" customWidth="1"/>
    <col min="2823" max="2834" width="0" style="67" hidden="1" customWidth="1"/>
    <col min="2835" max="2836" width="9" style="67" customWidth="1"/>
    <col min="2837" max="2837" width="21.42578125" style="67" customWidth="1"/>
    <col min="2838" max="3072" width="9" style="67"/>
    <col min="3073" max="3073" width="4.42578125" style="67" customWidth="1"/>
    <col min="3074" max="3074" width="45.5703125" style="67" customWidth="1"/>
    <col min="3075" max="3075" width="17.140625" style="67" customWidth="1"/>
    <col min="3076" max="3076" width="17" style="67" customWidth="1"/>
    <col min="3077" max="3077" width="16.140625" style="67" customWidth="1"/>
    <col min="3078" max="3078" width="10.5703125" style="67" customWidth="1"/>
    <col min="3079" max="3090" width="0" style="67" hidden="1" customWidth="1"/>
    <col min="3091" max="3092" width="9" style="67" customWidth="1"/>
    <col min="3093" max="3093" width="21.42578125" style="67" customWidth="1"/>
    <col min="3094" max="3328" width="9" style="67"/>
    <col min="3329" max="3329" width="4.42578125" style="67" customWidth="1"/>
    <col min="3330" max="3330" width="45.5703125" style="67" customWidth="1"/>
    <col min="3331" max="3331" width="17.140625" style="67" customWidth="1"/>
    <col min="3332" max="3332" width="17" style="67" customWidth="1"/>
    <col min="3333" max="3333" width="16.140625" style="67" customWidth="1"/>
    <col min="3334" max="3334" width="10.5703125" style="67" customWidth="1"/>
    <col min="3335" max="3346" width="0" style="67" hidden="1" customWidth="1"/>
    <col min="3347" max="3348" width="9" style="67" customWidth="1"/>
    <col min="3349" max="3349" width="21.42578125" style="67" customWidth="1"/>
    <col min="3350" max="3584" width="9" style="67"/>
    <col min="3585" max="3585" width="4.42578125" style="67" customWidth="1"/>
    <col min="3586" max="3586" width="45.5703125" style="67" customWidth="1"/>
    <col min="3587" max="3587" width="17.140625" style="67" customWidth="1"/>
    <col min="3588" max="3588" width="17" style="67" customWidth="1"/>
    <col min="3589" max="3589" width="16.140625" style="67" customWidth="1"/>
    <col min="3590" max="3590" width="10.5703125" style="67" customWidth="1"/>
    <col min="3591" max="3602" width="0" style="67" hidden="1" customWidth="1"/>
    <col min="3603" max="3604" width="9" style="67" customWidth="1"/>
    <col min="3605" max="3605" width="21.42578125" style="67" customWidth="1"/>
    <col min="3606" max="3840" width="9" style="67"/>
    <col min="3841" max="3841" width="4.42578125" style="67" customWidth="1"/>
    <col min="3842" max="3842" width="45.5703125" style="67" customWidth="1"/>
    <col min="3843" max="3843" width="17.140625" style="67" customWidth="1"/>
    <col min="3844" max="3844" width="17" style="67" customWidth="1"/>
    <col min="3845" max="3845" width="16.140625" style="67" customWidth="1"/>
    <col min="3846" max="3846" width="10.5703125" style="67" customWidth="1"/>
    <col min="3847" max="3858" width="0" style="67" hidden="1" customWidth="1"/>
    <col min="3859" max="3860" width="9" style="67" customWidth="1"/>
    <col min="3861" max="3861" width="21.42578125" style="67" customWidth="1"/>
    <col min="3862" max="4096" width="9" style="67"/>
    <col min="4097" max="4097" width="4.42578125" style="67" customWidth="1"/>
    <col min="4098" max="4098" width="45.5703125" style="67" customWidth="1"/>
    <col min="4099" max="4099" width="17.140625" style="67" customWidth="1"/>
    <col min="4100" max="4100" width="17" style="67" customWidth="1"/>
    <col min="4101" max="4101" width="16.140625" style="67" customWidth="1"/>
    <col min="4102" max="4102" width="10.5703125" style="67" customWidth="1"/>
    <col min="4103" max="4114" width="0" style="67" hidden="1" customWidth="1"/>
    <col min="4115" max="4116" width="9" style="67" customWidth="1"/>
    <col min="4117" max="4117" width="21.42578125" style="67" customWidth="1"/>
    <col min="4118" max="4352" width="9" style="67"/>
    <col min="4353" max="4353" width="4.42578125" style="67" customWidth="1"/>
    <col min="4354" max="4354" width="45.5703125" style="67" customWidth="1"/>
    <col min="4355" max="4355" width="17.140625" style="67" customWidth="1"/>
    <col min="4356" max="4356" width="17" style="67" customWidth="1"/>
    <col min="4357" max="4357" width="16.140625" style="67" customWidth="1"/>
    <col min="4358" max="4358" width="10.5703125" style="67" customWidth="1"/>
    <col min="4359" max="4370" width="0" style="67" hidden="1" customWidth="1"/>
    <col min="4371" max="4372" width="9" style="67" customWidth="1"/>
    <col min="4373" max="4373" width="21.42578125" style="67" customWidth="1"/>
    <col min="4374" max="4608" width="9" style="67"/>
    <col min="4609" max="4609" width="4.42578125" style="67" customWidth="1"/>
    <col min="4610" max="4610" width="45.5703125" style="67" customWidth="1"/>
    <col min="4611" max="4611" width="17.140625" style="67" customWidth="1"/>
    <col min="4612" max="4612" width="17" style="67" customWidth="1"/>
    <col min="4613" max="4613" width="16.140625" style="67" customWidth="1"/>
    <col min="4614" max="4614" width="10.5703125" style="67" customWidth="1"/>
    <col min="4615" max="4626" width="0" style="67" hidden="1" customWidth="1"/>
    <col min="4627" max="4628" width="9" style="67" customWidth="1"/>
    <col min="4629" max="4629" width="21.42578125" style="67" customWidth="1"/>
    <col min="4630" max="4864" width="9" style="67"/>
    <col min="4865" max="4865" width="4.42578125" style="67" customWidth="1"/>
    <col min="4866" max="4866" width="45.5703125" style="67" customWidth="1"/>
    <col min="4867" max="4867" width="17.140625" style="67" customWidth="1"/>
    <col min="4868" max="4868" width="17" style="67" customWidth="1"/>
    <col min="4869" max="4869" width="16.140625" style="67" customWidth="1"/>
    <col min="4870" max="4870" width="10.5703125" style="67" customWidth="1"/>
    <col min="4871" max="4882" width="0" style="67" hidden="1" customWidth="1"/>
    <col min="4883" max="4884" width="9" style="67" customWidth="1"/>
    <col min="4885" max="4885" width="21.42578125" style="67" customWidth="1"/>
    <col min="4886" max="5120" width="9" style="67"/>
    <col min="5121" max="5121" width="4.42578125" style="67" customWidth="1"/>
    <col min="5122" max="5122" width="45.5703125" style="67" customWidth="1"/>
    <col min="5123" max="5123" width="17.140625" style="67" customWidth="1"/>
    <col min="5124" max="5124" width="17" style="67" customWidth="1"/>
    <col min="5125" max="5125" width="16.140625" style="67" customWidth="1"/>
    <col min="5126" max="5126" width="10.5703125" style="67" customWidth="1"/>
    <col min="5127" max="5138" width="0" style="67" hidden="1" customWidth="1"/>
    <col min="5139" max="5140" width="9" style="67" customWidth="1"/>
    <col min="5141" max="5141" width="21.42578125" style="67" customWidth="1"/>
    <col min="5142" max="5376" width="9" style="67"/>
    <col min="5377" max="5377" width="4.42578125" style="67" customWidth="1"/>
    <col min="5378" max="5378" width="45.5703125" style="67" customWidth="1"/>
    <col min="5379" max="5379" width="17.140625" style="67" customWidth="1"/>
    <col min="5380" max="5380" width="17" style="67" customWidth="1"/>
    <col min="5381" max="5381" width="16.140625" style="67" customWidth="1"/>
    <col min="5382" max="5382" width="10.5703125" style="67" customWidth="1"/>
    <col min="5383" max="5394" width="0" style="67" hidden="1" customWidth="1"/>
    <col min="5395" max="5396" width="9" style="67" customWidth="1"/>
    <col min="5397" max="5397" width="21.42578125" style="67" customWidth="1"/>
    <col min="5398" max="5632" width="9" style="67"/>
    <col min="5633" max="5633" width="4.42578125" style="67" customWidth="1"/>
    <col min="5634" max="5634" width="45.5703125" style="67" customWidth="1"/>
    <col min="5635" max="5635" width="17.140625" style="67" customWidth="1"/>
    <col min="5636" max="5636" width="17" style="67" customWidth="1"/>
    <col min="5637" max="5637" width="16.140625" style="67" customWidth="1"/>
    <col min="5638" max="5638" width="10.5703125" style="67" customWidth="1"/>
    <col min="5639" max="5650" width="0" style="67" hidden="1" customWidth="1"/>
    <col min="5651" max="5652" width="9" style="67" customWidth="1"/>
    <col min="5653" max="5653" width="21.42578125" style="67" customWidth="1"/>
    <col min="5654" max="5888" width="9" style="67"/>
    <col min="5889" max="5889" width="4.42578125" style="67" customWidth="1"/>
    <col min="5890" max="5890" width="45.5703125" style="67" customWidth="1"/>
    <col min="5891" max="5891" width="17.140625" style="67" customWidth="1"/>
    <col min="5892" max="5892" width="17" style="67" customWidth="1"/>
    <col min="5893" max="5893" width="16.140625" style="67" customWidth="1"/>
    <col min="5894" max="5894" width="10.5703125" style="67" customWidth="1"/>
    <col min="5895" max="5906" width="0" style="67" hidden="1" customWidth="1"/>
    <col min="5907" max="5908" width="9" style="67" customWidth="1"/>
    <col min="5909" max="5909" width="21.42578125" style="67" customWidth="1"/>
    <col min="5910" max="6144" width="9" style="67"/>
    <col min="6145" max="6145" width="4.42578125" style="67" customWidth="1"/>
    <col min="6146" max="6146" width="45.5703125" style="67" customWidth="1"/>
    <col min="6147" max="6147" width="17.140625" style="67" customWidth="1"/>
    <col min="6148" max="6148" width="17" style="67" customWidth="1"/>
    <col min="6149" max="6149" width="16.140625" style="67" customWidth="1"/>
    <col min="6150" max="6150" width="10.5703125" style="67" customWidth="1"/>
    <col min="6151" max="6162" width="0" style="67" hidden="1" customWidth="1"/>
    <col min="6163" max="6164" width="9" style="67" customWidth="1"/>
    <col min="6165" max="6165" width="21.42578125" style="67" customWidth="1"/>
    <col min="6166" max="6400" width="9" style="67"/>
    <col min="6401" max="6401" width="4.42578125" style="67" customWidth="1"/>
    <col min="6402" max="6402" width="45.5703125" style="67" customWidth="1"/>
    <col min="6403" max="6403" width="17.140625" style="67" customWidth="1"/>
    <col min="6404" max="6404" width="17" style="67" customWidth="1"/>
    <col min="6405" max="6405" width="16.140625" style="67" customWidth="1"/>
    <col min="6406" max="6406" width="10.5703125" style="67" customWidth="1"/>
    <col min="6407" max="6418" width="0" style="67" hidden="1" customWidth="1"/>
    <col min="6419" max="6420" width="9" style="67" customWidth="1"/>
    <col min="6421" max="6421" width="21.42578125" style="67" customWidth="1"/>
    <col min="6422" max="6656" width="9" style="67"/>
    <col min="6657" max="6657" width="4.42578125" style="67" customWidth="1"/>
    <col min="6658" max="6658" width="45.5703125" style="67" customWidth="1"/>
    <col min="6659" max="6659" width="17.140625" style="67" customWidth="1"/>
    <col min="6660" max="6660" width="17" style="67" customWidth="1"/>
    <col min="6661" max="6661" width="16.140625" style="67" customWidth="1"/>
    <col min="6662" max="6662" width="10.5703125" style="67" customWidth="1"/>
    <col min="6663" max="6674" width="0" style="67" hidden="1" customWidth="1"/>
    <col min="6675" max="6676" width="9" style="67" customWidth="1"/>
    <col min="6677" max="6677" width="21.42578125" style="67" customWidth="1"/>
    <col min="6678" max="6912" width="9" style="67"/>
    <col min="6913" max="6913" width="4.42578125" style="67" customWidth="1"/>
    <col min="6914" max="6914" width="45.5703125" style="67" customWidth="1"/>
    <col min="6915" max="6915" width="17.140625" style="67" customWidth="1"/>
    <col min="6916" max="6916" width="17" style="67" customWidth="1"/>
    <col min="6917" max="6917" width="16.140625" style="67" customWidth="1"/>
    <col min="6918" max="6918" width="10.5703125" style="67" customWidth="1"/>
    <col min="6919" max="6930" width="0" style="67" hidden="1" customWidth="1"/>
    <col min="6931" max="6932" width="9" style="67" customWidth="1"/>
    <col min="6933" max="6933" width="21.42578125" style="67" customWidth="1"/>
    <col min="6934" max="7168" width="9" style="67"/>
    <col min="7169" max="7169" width="4.42578125" style="67" customWidth="1"/>
    <col min="7170" max="7170" width="45.5703125" style="67" customWidth="1"/>
    <col min="7171" max="7171" width="17.140625" style="67" customWidth="1"/>
    <col min="7172" max="7172" width="17" style="67" customWidth="1"/>
    <col min="7173" max="7173" width="16.140625" style="67" customWidth="1"/>
    <col min="7174" max="7174" width="10.5703125" style="67" customWidth="1"/>
    <col min="7175" max="7186" width="0" style="67" hidden="1" customWidth="1"/>
    <col min="7187" max="7188" width="9" style="67" customWidth="1"/>
    <col min="7189" max="7189" width="21.42578125" style="67" customWidth="1"/>
    <col min="7190" max="7424" width="9" style="67"/>
    <col min="7425" max="7425" width="4.42578125" style="67" customWidth="1"/>
    <col min="7426" max="7426" width="45.5703125" style="67" customWidth="1"/>
    <col min="7427" max="7427" width="17.140625" style="67" customWidth="1"/>
    <col min="7428" max="7428" width="17" style="67" customWidth="1"/>
    <col min="7429" max="7429" width="16.140625" style="67" customWidth="1"/>
    <col min="7430" max="7430" width="10.5703125" style="67" customWidth="1"/>
    <col min="7431" max="7442" width="0" style="67" hidden="1" customWidth="1"/>
    <col min="7443" max="7444" width="9" style="67" customWidth="1"/>
    <col min="7445" max="7445" width="21.42578125" style="67" customWidth="1"/>
    <col min="7446" max="7680" width="9" style="67"/>
    <col min="7681" max="7681" width="4.42578125" style="67" customWidth="1"/>
    <col min="7682" max="7682" width="45.5703125" style="67" customWidth="1"/>
    <col min="7683" max="7683" width="17.140625" style="67" customWidth="1"/>
    <col min="7684" max="7684" width="17" style="67" customWidth="1"/>
    <col min="7685" max="7685" width="16.140625" style="67" customWidth="1"/>
    <col min="7686" max="7686" width="10.5703125" style="67" customWidth="1"/>
    <col min="7687" max="7698" width="0" style="67" hidden="1" customWidth="1"/>
    <col min="7699" max="7700" width="9" style="67" customWidth="1"/>
    <col min="7701" max="7701" width="21.42578125" style="67" customWidth="1"/>
    <col min="7702" max="7936" width="9" style="67"/>
    <col min="7937" max="7937" width="4.42578125" style="67" customWidth="1"/>
    <col min="7938" max="7938" width="45.5703125" style="67" customWidth="1"/>
    <col min="7939" max="7939" width="17.140625" style="67" customWidth="1"/>
    <col min="7940" max="7940" width="17" style="67" customWidth="1"/>
    <col min="7941" max="7941" width="16.140625" style="67" customWidth="1"/>
    <col min="7942" max="7942" width="10.5703125" style="67" customWidth="1"/>
    <col min="7943" max="7954" width="0" style="67" hidden="1" customWidth="1"/>
    <col min="7955" max="7956" width="9" style="67" customWidth="1"/>
    <col min="7957" max="7957" width="21.42578125" style="67" customWidth="1"/>
    <col min="7958" max="8192" width="9" style="67"/>
    <col min="8193" max="8193" width="4.42578125" style="67" customWidth="1"/>
    <col min="8194" max="8194" width="45.5703125" style="67" customWidth="1"/>
    <col min="8195" max="8195" width="17.140625" style="67" customWidth="1"/>
    <col min="8196" max="8196" width="17" style="67" customWidth="1"/>
    <col min="8197" max="8197" width="16.140625" style="67" customWidth="1"/>
    <col min="8198" max="8198" width="10.5703125" style="67" customWidth="1"/>
    <col min="8199" max="8210" width="0" style="67" hidden="1" customWidth="1"/>
    <col min="8211" max="8212" width="9" style="67" customWidth="1"/>
    <col min="8213" max="8213" width="21.42578125" style="67" customWidth="1"/>
    <col min="8214" max="8448" width="9" style="67"/>
    <col min="8449" max="8449" width="4.42578125" style="67" customWidth="1"/>
    <col min="8450" max="8450" width="45.5703125" style="67" customWidth="1"/>
    <col min="8451" max="8451" width="17.140625" style="67" customWidth="1"/>
    <col min="8452" max="8452" width="17" style="67" customWidth="1"/>
    <col min="8453" max="8453" width="16.140625" style="67" customWidth="1"/>
    <col min="8454" max="8454" width="10.5703125" style="67" customWidth="1"/>
    <col min="8455" max="8466" width="0" style="67" hidden="1" customWidth="1"/>
    <col min="8467" max="8468" width="9" style="67" customWidth="1"/>
    <col min="8469" max="8469" width="21.42578125" style="67" customWidth="1"/>
    <col min="8470" max="8704" width="9" style="67"/>
    <col min="8705" max="8705" width="4.42578125" style="67" customWidth="1"/>
    <col min="8706" max="8706" width="45.5703125" style="67" customWidth="1"/>
    <col min="8707" max="8707" width="17.140625" style="67" customWidth="1"/>
    <col min="8708" max="8708" width="17" style="67" customWidth="1"/>
    <col min="8709" max="8709" width="16.140625" style="67" customWidth="1"/>
    <col min="8710" max="8710" width="10.5703125" style="67" customWidth="1"/>
    <col min="8711" max="8722" width="0" style="67" hidden="1" customWidth="1"/>
    <col min="8723" max="8724" width="9" style="67" customWidth="1"/>
    <col min="8725" max="8725" width="21.42578125" style="67" customWidth="1"/>
    <col min="8726" max="8960" width="9" style="67"/>
    <col min="8961" max="8961" width="4.42578125" style="67" customWidth="1"/>
    <col min="8962" max="8962" width="45.5703125" style="67" customWidth="1"/>
    <col min="8963" max="8963" width="17.140625" style="67" customWidth="1"/>
    <col min="8964" max="8964" width="17" style="67" customWidth="1"/>
    <col min="8965" max="8965" width="16.140625" style="67" customWidth="1"/>
    <col min="8966" max="8966" width="10.5703125" style="67" customWidth="1"/>
    <col min="8967" max="8978" width="0" style="67" hidden="1" customWidth="1"/>
    <col min="8979" max="8980" width="9" style="67" customWidth="1"/>
    <col min="8981" max="8981" width="21.42578125" style="67" customWidth="1"/>
    <col min="8982" max="9216" width="9" style="67"/>
    <col min="9217" max="9217" width="4.42578125" style="67" customWidth="1"/>
    <col min="9218" max="9218" width="45.5703125" style="67" customWidth="1"/>
    <col min="9219" max="9219" width="17.140625" style="67" customWidth="1"/>
    <col min="9220" max="9220" width="17" style="67" customWidth="1"/>
    <col min="9221" max="9221" width="16.140625" style="67" customWidth="1"/>
    <col min="9222" max="9222" width="10.5703125" style="67" customWidth="1"/>
    <col min="9223" max="9234" width="0" style="67" hidden="1" customWidth="1"/>
    <col min="9235" max="9236" width="9" style="67" customWidth="1"/>
    <col min="9237" max="9237" width="21.42578125" style="67" customWidth="1"/>
    <col min="9238" max="9472" width="9" style="67"/>
    <col min="9473" max="9473" width="4.42578125" style="67" customWidth="1"/>
    <col min="9474" max="9474" width="45.5703125" style="67" customWidth="1"/>
    <col min="9475" max="9475" width="17.140625" style="67" customWidth="1"/>
    <col min="9476" max="9476" width="17" style="67" customWidth="1"/>
    <col min="9477" max="9477" width="16.140625" style="67" customWidth="1"/>
    <col min="9478" max="9478" width="10.5703125" style="67" customWidth="1"/>
    <col min="9479" max="9490" width="0" style="67" hidden="1" customWidth="1"/>
    <col min="9491" max="9492" width="9" style="67" customWidth="1"/>
    <col min="9493" max="9493" width="21.42578125" style="67" customWidth="1"/>
    <col min="9494" max="9728" width="9" style="67"/>
    <col min="9729" max="9729" width="4.42578125" style="67" customWidth="1"/>
    <col min="9730" max="9730" width="45.5703125" style="67" customWidth="1"/>
    <col min="9731" max="9731" width="17.140625" style="67" customWidth="1"/>
    <col min="9732" max="9732" width="17" style="67" customWidth="1"/>
    <col min="9733" max="9733" width="16.140625" style="67" customWidth="1"/>
    <col min="9734" max="9734" width="10.5703125" style="67" customWidth="1"/>
    <col min="9735" max="9746" width="0" style="67" hidden="1" customWidth="1"/>
    <col min="9747" max="9748" width="9" style="67" customWidth="1"/>
    <col min="9749" max="9749" width="21.42578125" style="67" customWidth="1"/>
    <col min="9750" max="9984" width="9" style="67"/>
    <col min="9985" max="9985" width="4.42578125" style="67" customWidth="1"/>
    <col min="9986" max="9986" width="45.5703125" style="67" customWidth="1"/>
    <col min="9987" max="9987" width="17.140625" style="67" customWidth="1"/>
    <col min="9988" max="9988" width="17" style="67" customWidth="1"/>
    <col min="9989" max="9989" width="16.140625" style="67" customWidth="1"/>
    <col min="9990" max="9990" width="10.5703125" style="67" customWidth="1"/>
    <col min="9991" max="10002" width="0" style="67" hidden="1" customWidth="1"/>
    <col min="10003" max="10004" width="9" style="67" customWidth="1"/>
    <col min="10005" max="10005" width="21.42578125" style="67" customWidth="1"/>
    <col min="10006" max="10240" width="9" style="67"/>
    <col min="10241" max="10241" width="4.42578125" style="67" customWidth="1"/>
    <col min="10242" max="10242" width="45.5703125" style="67" customWidth="1"/>
    <col min="10243" max="10243" width="17.140625" style="67" customWidth="1"/>
    <col min="10244" max="10244" width="17" style="67" customWidth="1"/>
    <col min="10245" max="10245" width="16.140625" style="67" customWidth="1"/>
    <col min="10246" max="10246" width="10.5703125" style="67" customWidth="1"/>
    <col min="10247" max="10258" width="0" style="67" hidden="1" customWidth="1"/>
    <col min="10259" max="10260" width="9" style="67" customWidth="1"/>
    <col min="10261" max="10261" width="21.42578125" style="67" customWidth="1"/>
    <col min="10262" max="10496" width="9" style="67"/>
    <col min="10497" max="10497" width="4.42578125" style="67" customWidth="1"/>
    <col min="10498" max="10498" width="45.5703125" style="67" customWidth="1"/>
    <col min="10499" max="10499" width="17.140625" style="67" customWidth="1"/>
    <col min="10500" max="10500" width="17" style="67" customWidth="1"/>
    <col min="10501" max="10501" width="16.140625" style="67" customWidth="1"/>
    <col min="10502" max="10502" width="10.5703125" style="67" customWidth="1"/>
    <col min="10503" max="10514" width="0" style="67" hidden="1" customWidth="1"/>
    <col min="10515" max="10516" width="9" style="67" customWidth="1"/>
    <col min="10517" max="10517" width="21.42578125" style="67" customWidth="1"/>
    <col min="10518" max="10752" width="9" style="67"/>
    <col min="10753" max="10753" width="4.42578125" style="67" customWidth="1"/>
    <col min="10754" max="10754" width="45.5703125" style="67" customWidth="1"/>
    <col min="10755" max="10755" width="17.140625" style="67" customWidth="1"/>
    <col min="10756" max="10756" width="17" style="67" customWidth="1"/>
    <col min="10757" max="10757" width="16.140625" style="67" customWidth="1"/>
    <col min="10758" max="10758" width="10.5703125" style="67" customWidth="1"/>
    <col min="10759" max="10770" width="0" style="67" hidden="1" customWidth="1"/>
    <col min="10771" max="10772" width="9" style="67" customWidth="1"/>
    <col min="10773" max="10773" width="21.42578125" style="67" customWidth="1"/>
    <col min="10774" max="11008" width="9" style="67"/>
    <col min="11009" max="11009" width="4.42578125" style="67" customWidth="1"/>
    <col min="11010" max="11010" width="45.5703125" style="67" customWidth="1"/>
    <col min="11011" max="11011" width="17.140625" style="67" customWidth="1"/>
    <col min="11012" max="11012" width="17" style="67" customWidth="1"/>
    <col min="11013" max="11013" width="16.140625" style="67" customWidth="1"/>
    <col min="11014" max="11014" width="10.5703125" style="67" customWidth="1"/>
    <col min="11015" max="11026" width="0" style="67" hidden="1" customWidth="1"/>
    <col min="11027" max="11028" width="9" style="67" customWidth="1"/>
    <col min="11029" max="11029" width="21.42578125" style="67" customWidth="1"/>
    <col min="11030" max="11264" width="9" style="67"/>
    <col min="11265" max="11265" width="4.42578125" style="67" customWidth="1"/>
    <col min="11266" max="11266" width="45.5703125" style="67" customWidth="1"/>
    <col min="11267" max="11267" width="17.140625" style="67" customWidth="1"/>
    <col min="11268" max="11268" width="17" style="67" customWidth="1"/>
    <col min="11269" max="11269" width="16.140625" style="67" customWidth="1"/>
    <col min="11270" max="11270" width="10.5703125" style="67" customWidth="1"/>
    <col min="11271" max="11282" width="0" style="67" hidden="1" customWidth="1"/>
    <col min="11283" max="11284" width="9" style="67" customWidth="1"/>
    <col min="11285" max="11285" width="21.42578125" style="67" customWidth="1"/>
    <col min="11286" max="11520" width="9" style="67"/>
    <col min="11521" max="11521" width="4.42578125" style="67" customWidth="1"/>
    <col min="11522" max="11522" width="45.5703125" style="67" customWidth="1"/>
    <col min="11523" max="11523" width="17.140625" style="67" customWidth="1"/>
    <col min="11524" max="11524" width="17" style="67" customWidth="1"/>
    <col min="11525" max="11525" width="16.140625" style="67" customWidth="1"/>
    <col min="11526" max="11526" width="10.5703125" style="67" customWidth="1"/>
    <col min="11527" max="11538" width="0" style="67" hidden="1" customWidth="1"/>
    <col min="11539" max="11540" width="9" style="67" customWidth="1"/>
    <col min="11541" max="11541" width="21.42578125" style="67" customWidth="1"/>
    <col min="11542" max="11776" width="9" style="67"/>
    <col min="11777" max="11777" width="4.42578125" style="67" customWidth="1"/>
    <col min="11778" max="11778" width="45.5703125" style="67" customWidth="1"/>
    <col min="11779" max="11779" width="17.140625" style="67" customWidth="1"/>
    <col min="11780" max="11780" width="17" style="67" customWidth="1"/>
    <col min="11781" max="11781" width="16.140625" style="67" customWidth="1"/>
    <col min="11782" max="11782" width="10.5703125" style="67" customWidth="1"/>
    <col min="11783" max="11794" width="0" style="67" hidden="1" customWidth="1"/>
    <col min="11795" max="11796" width="9" style="67" customWidth="1"/>
    <col min="11797" max="11797" width="21.42578125" style="67" customWidth="1"/>
    <col min="11798" max="12032" width="9" style="67"/>
    <col min="12033" max="12033" width="4.42578125" style="67" customWidth="1"/>
    <col min="12034" max="12034" width="45.5703125" style="67" customWidth="1"/>
    <col min="12035" max="12035" width="17.140625" style="67" customWidth="1"/>
    <col min="12036" max="12036" width="17" style="67" customWidth="1"/>
    <col min="12037" max="12037" width="16.140625" style="67" customWidth="1"/>
    <col min="12038" max="12038" width="10.5703125" style="67" customWidth="1"/>
    <col min="12039" max="12050" width="0" style="67" hidden="1" customWidth="1"/>
    <col min="12051" max="12052" width="9" style="67" customWidth="1"/>
    <col min="12053" max="12053" width="21.42578125" style="67" customWidth="1"/>
    <col min="12054" max="12288" width="9" style="67"/>
    <col min="12289" max="12289" width="4.42578125" style="67" customWidth="1"/>
    <col min="12290" max="12290" width="45.5703125" style="67" customWidth="1"/>
    <col min="12291" max="12291" width="17.140625" style="67" customWidth="1"/>
    <col min="12292" max="12292" width="17" style="67" customWidth="1"/>
    <col min="12293" max="12293" width="16.140625" style="67" customWidth="1"/>
    <col min="12294" max="12294" width="10.5703125" style="67" customWidth="1"/>
    <col min="12295" max="12306" width="0" style="67" hidden="1" customWidth="1"/>
    <col min="12307" max="12308" width="9" style="67" customWidth="1"/>
    <col min="12309" max="12309" width="21.42578125" style="67" customWidth="1"/>
    <col min="12310" max="12544" width="9" style="67"/>
    <col min="12545" max="12545" width="4.42578125" style="67" customWidth="1"/>
    <col min="12546" max="12546" width="45.5703125" style="67" customWidth="1"/>
    <col min="12547" max="12547" width="17.140625" style="67" customWidth="1"/>
    <col min="12548" max="12548" width="17" style="67" customWidth="1"/>
    <col min="12549" max="12549" width="16.140625" style="67" customWidth="1"/>
    <col min="12550" max="12550" width="10.5703125" style="67" customWidth="1"/>
    <col min="12551" max="12562" width="0" style="67" hidden="1" customWidth="1"/>
    <col min="12563" max="12564" width="9" style="67" customWidth="1"/>
    <col min="12565" max="12565" width="21.42578125" style="67" customWidth="1"/>
    <col min="12566" max="12800" width="9" style="67"/>
    <col min="12801" max="12801" width="4.42578125" style="67" customWidth="1"/>
    <col min="12802" max="12802" width="45.5703125" style="67" customWidth="1"/>
    <col min="12803" max="12803" width="17.140625" style="67" customWidth="1"/>
    <col min="12804" max="12804" width="17" style="67" customWidth="1"/>
    <col min="12805" max="12805" width="16.140625" style="67" customWidth="1"/>
    <col min="12806" max="12806" width="10.5703125" style="67" customWidth="1"/>
    <col min="12807" max="12818" width="0" style="67" hidden="1" customWidth="1"/>
    <col min="12819" max="12820" width="9" style="67" customWidth="1"/>
    <col min="12821" max="12821" width="21.42578125" style="67" customWidth="1"/>
    <col min="12822" max="13056" width="9" style="67"/>
    <col min="13057" max="13057" width="4.42578125" style="67" customWidth="1"/>
    <col min="13058" max="13058" width="45.5703125" style="67" customWidth="1"/>
    <col min="13059" max="13059" width="17.140625" style="67" customWidth="1"/>
    <col min="13060" max="13060" width="17" style="67" customWidth="1"/>
    <col min="13061" max="13061" width="16.140625" style="67" customWidth="1"/>
    <col min="13062" max="13062" width="10.5703125" style="67" customWidth="1"/>
    <col min="13063" max="13074" width="0" style="67" hidden="1" customWidth="1"/>
    <col min="13075" max="13076" width="9" style="67" customWidth="1"/>
    <col min="13077" max="13077" width="21.42578125" style="67" customWidth="1"/>
    <col min="13078" max="13312" width="9" style="67"/>
    <col min="13313" max="13313" width="4.42578125" style="67" customWidth="1"/>
    <col min="13314" max="13314" width="45.5703125" style="67" customWidth="1"/>
    <col min="13315" max="13315" width="17.140625" style="67" customWidth="1"/>
    <col min="13316" max="13316" width="17" style="67" customWidth="1"/>
    <col min="13317" max="13317" width="16.140625" style="67" customWidth="1"/>
    <col min="13318" max="13318" width="10.5703125" style="67" customWidth="1"/>
    <col min="13319" max="13330" width="0" style="67" hidden="1" customWidth="1"/>
    <col min="13331" max="13332" width="9" style="67" customWidth="1"/>
    <col min="13333" max="13333" width="21.42578125" style="67" customWidth="1"/>
    <col min="13334" max="13568" width="9" style="67"/>
    <col min="13569" max="13569" width="4.42578125" style="67" customWidth="1"/>
    <col min="13570" max="13570" width="45.5703125" style="67" customWidth="1"/>
    <col min="13571" max="13571" width="17.140625" style="67" customWidth="1"/>
    <col min="13572" max="13572" width="17" style="67" customWidth="1"/>
    <col min="13573" max="13573" width="16.140625" style="67" customWidth="1"/>
    <col min="13574" max="13574" width="10.5703125" style="67" customWidth="1"/>
    <col min="13575" max="13586" width="0" style="67" hidden="1" customWidth="1"/>
    <col min="13587" max="13588" width="9" style="67" customWidth="1"/>
    <col min="13589" max="13589" width="21.42578125" style="67" customWidth="1"/>
    <col min="13590" max="13824" width="9" style="67"/>
    <col min="13825" max="13825" width="4.42578125" style="67" customWidth="1"/>
    <col min="13826" max="13826" width="45.5703125" style="67" customWidth="1"/>
    <col min="13827" max="13827" width="17.140625" style="67" customWidth="1"/>
    <col min="13828" max="13828" width="17" style="67" customWidth="1"/>
    <col min="13829" max="13829" width="16.140625" style="67" customWidth="1"/>
    <col min="13830" max="13830" width="10.5703125" style="67" customWidth="1"/>
    <col min="13831" max="13842" width="0" style="67" hidden="1" customWidth="1"/>
    <col min="13843" max="13844" width="9" style="67" customWidth="1"/>
    <col min="13845" max="13845" width="21.42578125" style="67" customWidth="1"/>
    <col min="13846" max="14080" width="9" style="67"/>
    <col min="14081" max="14081" width="4.42578125" style="67" customWidth="1"/>
    <col min="14082" max="14082" width="45.5703125" style="67" customWidth="1"/>
    <col min="14083" max="14083" width="17.140625" style="67" customWidth="1"/>
    <col min="14084" max="14084" width="17" style="67" customWidth="1"/>
    <col min="14085" max="14085" width="16.140625" style="67" customWidth="1"/>
    <col min="14086" max="14086" width="10.5703125" style="67" customWidth="1"/>
    <col min="14087" max="14098" width="0" style="67" hidden="1" customWidth="1"/>
    <col min="14099" max="14100" width="9" style="67" customWidth="1"/>
    <col min="14101" max="14101" width="21.42578125" style="67" customWidth="1"/>
    <col min="14102" max="14336" width="9" style="67"/>
    <col min="14337" max="14337" width="4.42578125" style="67" customWidth="1"/>
    <col min="14338" max="14338" width="45.5703125" style="67" customWidth="1"/>
    <col min="14339" max="14339" width="17.140625" style="67" customWidth="1"/>
    <col min="14340" max="14340" width="17" style="67" customWidth="1"/>
    <col min="14341" max="14341" width="16.140625" style="67" customWidth="1"/>
    <col min="14342" max="14342" width="10.5703125" style="67" customWidth="1"/>
    <col min="14343" max="14354" width="0" style="67" hidden="1" customWidth="1"/>
    <col min="14355" max="14356" width="9" style="67" customWidth="1"/>
    <col min="14357" max="14357" width="21.42578125" style="67" customWidth="1"/>
    <col min="14358" max="14592" width="9" style="67"/>
    <col min="14593" max="14593" width="4.42578125" style="67" customWidth="1"/>
    <col min="14594" max="14594" width="45.5703125" style="67" customWidth="1"/>
    <col min="14595" max="14595" width="17.140625" style="67" customWidth="1"/>
    <col min="14596" max="14596" width="17" style="67" customWidth="1"/>
    <col min="14597" max="14597" width="16.140625" style="67" customWidth="1"/>
    <col min="14598" max="14598" width="10.5703125" style="67" customWidth="1"/>
    <col min="14599" max="14610" width="0" style="67" hidden="1" customWidth="1"/>
    <col min="14611" max="14612" width="9" style="67" customWidth="1"/>
    <col min="14613" max="14613" width="21.42578125" style="67" customWidth="1"/>
    <col min="14614" max="14848" width="9" style="67"/>
    <col min="14849" max="14849" width="4.42578125" style="67" customWidth="1"/>
    <col min="14850" max="14850" width="45.5703125" style="67" customWidth="1"/>
    <col min="14851" max="14851" width="17.140625" style="67" customWidth="1"/>
    <col min="14852" max="14852" width="17" style="67" customWidth="1"/>
    <col min="14853" max="14853" width="16.140625" style="67" customWidth="1"/>
    <col min="14854" max="14854" width="10.5703125" style="67" customWidth="1"/>
    <col min="14855" max="14866" width="0" style="67" hidden="1" customWidth="1"/>
    <col min="14867" max="14868" width="9" style="67" customWidth="1"/>
    <col min="14869" max="14869" width="21.42578125" style="67" customWidth="1"/>
    <col min="14870" max="15104" width="9" style="67"/>
    <col min="15105" max="15105" width="4.42578125" style="67" customWidth="1"/>
    <col min="15106" max="15106" width="45.5703125" style="67" customWidth="1"/>
    <col min="15107" max="15107" width="17.140625" style="67" customWidth="1"/>
    <col min="15108" max="15108" width="17" style="67" customWidth="1"/>
    <col min="15109" max="15109" width="16.140625" style="67" customWidth="1"/>
    <col min="15110" max="15110" width="10.5703125" style="67" customWidth="1"/>
    <col min="15111" max="15122" width="0" style="67" hidden="1" customWidth="1"/>
    <col min="15123" max="15124" width="9" style="67" customWidth="1"/>
    <col min="15125" max="15125" width="21.42578125" style="67" customWidth="1"/>
    <col min="15126" max="15360" width="9" style="67"/>
    <col min="15361" max="15361" width="4.42578125" style="67" customWidth="1"/>
    <col min="15362" max="15362" width="45.5703125" style="67" customWidth="1"/>
    <col min="15363" max="15363" width="17.140625" style="67" customWidth="1"/>
    <col min="15364" max="15364" width="17" style="67" customWidth="1"/>
    <col min="15365" max="15365" width="16.140625" style="67" customWidth="1"/>
    <col min="15366" max="15366" width="10.5703125" style="67" customWidth="1"/>
    <col min="15367" max="15378" width="0" style="67" hidden="1" customWidth="1"/>
    <col min="15379" max="15380" width="9" style="67" customWidth="1"/>
    <col min="15381" max="15381" width="21.42578125" style="67" customWidth="1"/>
    <col min="15382" max="15616" width="9" style="67"/>
    <col min="15617" max="15617" width="4.42578125" style="67" customWidth="1"/>
    <col min="15618" max="15618" width="45.5703125" style="67" customWidth="1"/>
    <col min="15619" max="15619" width="17.140625" style="67" customWidth="1"/>
    <col min="15620" max="15620" width="17" style="67" customWidth="1"/>
    <col min="15621" max="15621" width="16.140625" style="67" customWidth="1"/>
    <col min="15622" max="15622" width="10.5703125" style="67" customWidth="1"/>
    <col min="15623" max="15634" width="0" style="67" hidden="1" customWidth="1"/>
    <col min="15635" max="15636" width="9" style="67" customWidth="1"/>
    <col min="15637" max="15637" width="21.42578125" style="67" customWidth="1"/>
    <col min="15638" max="15872" width="9" style="67"/>
    <col min="15873" max="15873" width="4.42578125" style="67" customWidth="1"/>
    <col min="15874" max="15874" width="45.5703125" style="67" customWidth="1"/>
    <col min="15875" max="15875" width="17.140625" style="67" customWidth="1"/>
    <col min="15876" max="15876" width="17" style="67" customWidth="1"/>
    <col min="15877" max="15877" width="16.140625" style="67" customWidth="1"/>
    <col min="15878" max="15878" width="10.5703125" style="67" customWidth="1"/>
    <col min="15879" max="15890" width="0" style="67" hidden="1" customWidth="1"/>
    <col min="15891" max="15892" width="9" style="67" customWidth="1"/>
    <col min="15893" max="15893" width="21.42578125" style="67" customWidth="1"/>
    <col min="15894" max="16128" width="9" style="67"/>
    <col min="16129" max="16129" width="4.42578125" style="67" customWidth="1"/>
    <col min="16130" max="16130" width="45.5703125" style="67" customWidth="1"/>
    <col min="16131" max="16131" width="17.140625" style="67" customWidth="1"/>
    <col min="16132" max="16132" width="17" style="67" customWidth="1"/>
    <col min="16133" max="16133" width="16.140625" style="67" customWidth="1"/>
    <col min="16134" max="16134" width="10.5703125" style="67" customWidth="1"/>
    <col min="16135" max="16146" width="0" style="67" hidden="1" customWidth="1"/>
    <col min="16147" max="16148" width="9" style="67" customWidth="1"/>
    <col min="16149" max="16149" width="21.42578125" style="67" customWidth="1"/>
    <col min="16150" max="16384" width="9" style="67"/>
  </cols>
  <sheetData>
    <row r="1" spans="1:16" ht="15.6" customHeight="1" x14ac:dyDescent="0.25">
      <c r="A1" s="600" t="s">
        <v>603</v>
      </c>
      <c r="B1" s="600"/>
      <c r="C1" s="600"/>
      <c r="D1" s="600"/>
      <c r="E1" s="600"/>
      <c r="F1" s="600"/>
    </row>
    <row r="2" spans="1:16" ht="18.75" x14ac:dyDescent="0.25">
      <c r="A2" s="694" t="s">
        <v>610</v>
      </c>
      <c r="B2" s="694"/>
      <c r="C2" s="694"/>
      <c r="D2" s="694"/>
      <c r="E2" s="694"/>
      <c r="F2" s="694"/>
    </row>
    <row r="3" spans="1:16" ht="18.75" x14ac:dyDescent="0.25">
      <c r="A3" s="695" t="str">
        <f>'59'!A4</f>
        <v>(Kèm theo Nghị quyết số 13/NQ-HĐND ngày 25 tháng 3 năm 2026 của HĐND  xã Quỳnh Nhai)</v>
      </c>
      <c r="B3" s="695"/>
      <c r="C3" s="695"/>
      <c r="D3" s="695"/>
      <c r="E3" s="695"/>
      <c r="F3" s="695"/>
      <c r="G3" s="418"/>
      <c r="H3" s="693" t="s">
        <v>442</v>
      </c>
      <c r="I3" s="693"/>
      <c r="J3" s="693"/>
      <c r="K3" s="693"/>
      <c r="L3" s="693"/>
      <c r="M3" s="693"/>
      <c r="N3" s="693"/>
    </row>
    <row r="4" spans="1:16" x14ac:dyDescent="0.25">
      <c r="A4" s="419"/>
      <c r="B4" s="419"/>
      <c r="E4" s="668" t="s">
        <v>227</v>
      </c>
      <c r="F4" s="668"/>
      <c r="H4" s="693" t="s">
        <v>443</v>
      </c>
      <c r="I4" s="693"/>
      <c r="J4" s="693"/>
      <c r="K4" s="693"/>
      <c r="L4" s="693"/>
      <c r="M4" s="693"/>
      <c r="N4" s="693"/>
      <c r="P4" s="67" t="s">
        <v>444</v>
      </c>
    </row>
    <row r="5" spans="1:16" x14ac:dyDescent="0.25">
      <c r="A5" s="696" t="s">
        <v>14</v>
      </c>
      <c r="B5" s="696" t="s">
        <v>15</v>
      </c>
      <c r="C5" s="698" t="s">
        <v>445</v>
      </c>
      <c r="D5" s="698" t="s">
        <v>446</v>
      </c>
      <c r="E5" s="699" t="s">
        <v>447</v>
      </c>
      <c r="F5" s="699"/>
      <c r="H5" s="693" t="s">
        <v>448</v>
      </c>
      <c r="I5" s="693"/>
      <c r="J5" s="693"/>
      <c r="K5" s="693"/>
      <c r="L5" s="693"/>
      <c r="M5" s="693"/>
      <c r="N5" s="693"/>
    </row>
    <row r="6" spans="1:16" ht="25.5" x14ac:dyDescent="0.25">
      <c r="A6" s="697"/>
      <c r="B6" s="697"/>
      <c r="C6" s="698"/>
      <c r="D6" s="698"/>
      <c r="E6" s="421" t="s">
        <v>449</v>
      </c>
      <c r="F6" s="5" t="s">
        <v>450</v>
      </c>
      <c r="H6" s="422"/>
    </row>
    <row r="7" spans="1:16" s="425" customFormat="1" x14ac:dyDescent="0.25">
      <c r="A7" s="423" t="s">
        <v>21</v>
      </c>
      <c r="B7" s="423" t="s">
        <v>22</v>
      </c>
      <c r="C7" s="423">
        <v>1</v>
      </c>
      <c r="D7" s="423">
        <v>2</v>
      </c>
      <c r="E7" s="424" t="s">
        <v>451</v>
      </c>
      <c r="F7" s="423" t="s">
        <v>452</v>
      </c>
      <c r="H7" s="426"/>
    </row>
    <row r="8" spans="1:16" ht="24" customHeight="1" x14ac:dyDescent="0.25">
      <c r="A8" s="427" t="s">
        <v>21</v>
      </c>
      <c r="B8" s="428" t="s">
        <v>453</v>
      </c>
      <c r="C8" s="429">
        <f>C9+C12+C15+C16+C17+C18</f>
        <v>358760943537</v>
      </c>
      <c r="D8" s="429">
        <f>D9+D12+D15+D16+D17+D18</f>
        <v>361309090700</v>
      </c>
      <c r="E8" s="429">
        <f>+D8-C8</f>
        <v>2548147163</v>
      </c>
      <c r="F8" s="430">
        <f>+D8/C8*100</f>
        <v>100.7102632571645</v>
      </c>
      <c r="G8" s="174">
        <f>680051383032+88173464992</f>
        <v>768224848024</v>
      </c>
      <c r="H8" s="431">
        <v>537333098.34399998</v>
      </c>
      <c r="I8" s="431"/>
    </row>
    <row r="9" spans="1:16" ht="24" customHeight="1" x14ac:dyDescent="0.25">
      <c r="A9" s="427" t="s">
        <v>115</v>
      </c>
      <c r="B9" s="428" t="s">
        <v>454</v>
      </c>
      <c r="C9" s="429">
        <f>SUM(C10:C11)</f>
        <v>1491000000</v>
      </c>
      <c r="D9" s="429">
        <f>SUM(D10:D11)</f>
        <v>2698379659</v>
      </c>
      <c r="E9" s="429">
        <f>SUM(E10:E11)</f>
        <v>1207379659</v>
      </c>
      <c r="F9" s="432">
        <f>+D9/C9*100</f>
        <v>180.97784433266264</v>
      </c>
      <c r="G9" s="433">
        <f>G8-78657254299</f>
        <v>689567593725</v>
      </c>
      <c r="H9" s="434">
        <f>H8-D8</f>
        <v>-360771757601.65601</v>
      </c>
    </row>
    <row r="10" spans="1:16" ht="24" customHeight="1" x14ac:dyDescent="0.25">
      <c r="A10" s="435" t="s">
        <v>285</v>
      </c>
      <c r="B10" s="436" t="s">
        <v>455</v>
      </c>
      <c r="C10" s="437">
        <f>1491000000-C11</f>
        <v>621000000</v>
      </c>
      <c r="D10" s="437"/>
      <c r="E10" s="437">
        <f>+D10-C10</f>
        <v>-621000000</v>
      </c>
      <c r="F10" s="438">
        <f t="shared" ref="F10:F25" si="0">+D10/C10*100</f>
        <v>0</v>
      </c>
      <c r="G10" s="433">
        <f>D8-G9</f>
        <v>-328258503025</v>
      </c>
      <c r="H10" s="431"/>
      <c r="I10" s="439" t="s">
        <v>456</v>
      </c>
      <c r="J10" s="440">
        <f>1682008.262+3981317.416</f>
        <v>5663325.6780000003</v>
      </c>
    </row>
    <row r="11" spans="1:16" ht="24" customHeight="1" x14ac:dyDescent="0.25">
      <c r="A11" s="435" t="s">
        <v>285</v>
      </c>
      <c r="B11" s="436" t="s">
        <v>457</v>
      </c>
      <c r="C11" s="437">
        <v>870000000</v>
      </c>
      <c r="D11" s="437">
        <v>2698379659</v>
      </c>
      <c r="E11" s="437">
        <f>+D11-C11</f>
        <v>1828379659</v>
      </c>
      <c r="F11" s="438">
        <f t="shared" si="0"/>
        <v>310.15858149425287</v>
      </c>
      <c r="H11" s="431"/>
      <c r="J11" s="441">
        <f>D8+J10</f>
        <v>361314754025.67798</v>
      </c>
    </row>
    <row r="12" spans="1:16" ht="24" customHeight="1" x14ac:dyDescent="0.25">
      <c r="A12" s="427" t="s">
        <v>71</v>
      </c>
      <c r="B12" s="428" t="s">
        <v>458</v>
      </c>
      <c r="C12" s="429">
        <f>C13+C14</f>
        <v>357269943537</v>
      </c>
      <c r="D12" s="429">
        <f>D13+D14</f>
        <v>357269943537</v>
      </c>
      <c r="E12" s="429">
        <f>E13+E14</f>
        <v>0</v>
      </c>
      <c r="F12" s="432">
        <f t="shared" si="0"/>
        <v>100</v>
      </c>
      <c r="H12" s="431"/>
    </row>
    <row r="13" spans="1:16" ht="24" customHeight="1" x14ac:dyDescent="0.25">
      <c r="A13" s="435">
        <v>1</v>
      </c>
      <c r="B13" s="436" t="s">
        <v>459</v>
      </c>
      <c r="C13" s="437">
        <f>'60'!H118</f>
        <v>33073377823</v>
      </c>
      <c r="D13" s="437">
        <f>C13</f>
        <v>33073377823</v>
      </c>
      <c r="E13" s="437">
        <f>+D13-C13</f>
        <v>0</v>
      </c>
      <c r="F13" s="438">
        <f t="shared" si="0"/>
        <v>100</v>
      </c>
    </row>
    <row r="14" spans="1:16" ht="24" customHeight="1" x14ac:dyDescent="0.25">
      <c r="A14" s="435">
        <v>2</v>
      </c>
      <c r="B14" s="436" t="s">
        <v>460</v>
      </c>
      <c r="C14" s="437">
        <f>'60'!H120</f>
        <v>324196565714</v>
      </c>
      <c r="D14" s="437">
        <f>C14</f>
        <v>324196565714</v>
      </c>
      <c r="E14" s="437">
        <f>+D14-C14</f>
        <v>0</v>
      </c>
      <c r="F14" s="438">
        <f t="shared" si="0"/>
        <v>100</v>
      </c>
    </row>
    <row r="15" spans="1:16" ht="24" customHeight="1" x14ac:dyDescent="0.25">
      <c r="A15" s="427" t="s">
        <v>89</v>
      </c>
      <c r="B15" s="428" t="s">
        <v>113</v>
      </c>
      <c r="C15" s="429"/>
      <c r="D15" s="429"/>
      <c r="E15" s="437"/>
      <c r="F15" s="438"/>
      <c r="H15" s="174"/>
      <c r="I15" s="174"/>
    </row>
    <row r="16" spans="1:16" ht="24" customHeight="1" x14ac:dyDescent="0.25">
      <c r="A16" s="427" t="s">
        <v>99</v>
      </c>
      <c r="B16" s="428" t="s">
        <v>461</v>
      </c>
      <c r="C16" s="429"/>
      <c r="D16" s="429">
        <v>28352000</v>
      </c>
      <c r="E16" s="429">
        <f>+D16-C16</f>
        <v>28352000</v>
      </c>
      <c r="F16" s="438"/>
      <c r="H16" s="174"/>
      <c r="I16" s="174"/>
    </row>
    <row r="17" spans="1:21" ht="24" customHeight="1" x14ac:dyDescent="0.25">
      <c r="A17" s="427" t="s">
        <v>101</v>
      </c>
      <c r="B17" s="428" t="s">
        <v>462</v>
      </c>
      <c r="C17" s="429"/>
      <c r="D17" s="429">
        <v>1312415504</v>
      </c>
      <c r="E17" s="429">
        <f>+D17-C17</f>
        <v>1312415504</v>
      </c>
      <c r="F17" s="438"/>
      <c r="H17" s="174"/>
      <c r="I17" s="174"/>
    </row>
    <row r="18" spans="1:21" ht="24" customHeight="1" x14ac:dyDescent="0.25">
      <c r="A18" s="427" t="s">
        <v>105</v>
      </c>
      <c r="B18" s="428" t="s">
        <v>129</v>
      </c>
      <c r="C18" s="429"/>
      <c r="D18" s="429"/>
      <c r="E18" s="429">
        <f>+D18-C18</f>
        <v>0</v>
      </c>
      <c r="F18" s="438"/>
      <c r="I18" s="174"/>
    </row>
    <row r="19" spans="1:21" ht="24" customHeight="1" x14ac:dyDescent="0.25">
      <c r="A19" s="427" t="s">
        <v>22</v>
      </c>
      <c r="B19" s="428" t="s">
        <v>463</v>
      </c>
      <c r="C19" s="429">
        <f>C20+C24+C26+C27</f>
        <v>359423403520</v>
      </c>
      <c r="D19" s="429">
        <f>D20+D24+D26+D27+D28</f>
        <v>361186013700</v>
      </c>
      <c r="E19" s="429">
        <f>+D19-C19</f>
        <v>1762610180</v>
      </c>
      <c r="F19" s="432">
        <f t="shared" si="0"/>
        <v>100.4903993904509</v>
      </c>
      <c r="G19" s="433"/>
      <c r="H19" s="173"/>
      <c r="I19" s="173">
        <f>33913015156+131682000</f>
        <v>34044697156</v>
      </c>
      <c r="U19" s="433"/>
    </row>
    <row r="20" spans="1:21" ht="24" customHeight="1" x14ac:dyDescent="0.25">
      <c r="A20" s="427" t="s">
        <v>115</v>
      </c>
      <c r="B20" s="428" t="s">
        <v>464</v>
      </c>
      <c r="C20" s="429">
        <f>C21+C22+C23</f>
        <v>349430574120</v>
      </c>
      <c r="D20" s="429">
        <f>D21+D22+D23</f>
        <v>339147506168</v>
      </c>
      <c r="E20" s="429">
        <f>E21+E22+E23</f>
        <v>-7109677952</v>
      </c>
      <c r="F20" s="432">
        <f t="shared" si="0"/>
        <v>97.057192840696132</v>
      </c>
      <c r="G20" s="174"/>
      <c r="H20" s="442"/>
      <c r="I20" s="442">
        <f>I19-D24</f>
        <v>17829253570</v>
      </c>
    </row>
    <row r="21" spans="1:21" ht="24" customHeight="1" x14ac:dyDescent="0.25">
      <c r="A21" s="435">
        <v>1</v>
      </c>
      <c r="B21" s="436" t="s">
        <v>137</v>
      </c>
      <c r="C21" s="437"/>
      <c r="D21" s="437"/>
      <c r="E21" s="437">
        <f>+D21-C21</f>
        <v>0</v>
      </c>
      <c r="F21" s="438"/>
      <c r="G21" s="443"/>
      <c r="H21" s="173"/>
      <c r="I21" s="173">
        <f>H21-I19</f>
        <v>-34044697156</v>
      </c>
    </row>
    <row r="22" spans="1:21" ht="24" customHeight="1" x14ac:dyDescent="0.25">
      <c r="A22" s="435">
        <v>2</v>
      </c>
      <c r="B22" s="436" t="s">
        <v>159</v>
      </c>
      <c r="C22" s="437">
        <f>349430574120-C23</f>
        <v>346257184120</v>
      </c>
      <c r="D22" s="437">
        <v>339147506168</v>
      </c>
      <c r="E22" s="437">
        <f>+D22-C22</f>
        <v>-7109677952</v>
      </c>
      <c r="F22" s="438">
        <f t="shared" si="0"/>
        <v>97.946706009849592</v>
      </c>
      <c r="G22" s="174"/>
      <c r="H22" s="437"/>
      <c r="I22" s="437">
        <f>345159743931</f>
        <v>345159743931</v>
      </c>
      <c r="J22" s="173"/>
    </row>
    <row r="23" spans="1:21" ht="24" customHeight="1" x14ac:dyDescent="0.25">
      <c r="A23" s="435">
        <v>3</v>
      </c>
      <c r="B23" s="436" t="s">
        <v>232</v>
      </c>
      <c r="C23" s="437">
        <v>3173390000</v>
      </c>
      <c r="D23" s="437"/>
      <c r="E23" s="437"/>
      <c r="F23" s="438"/>
      <c r="G23" s="174"/>
      <c r="H23" s="173"/>
      <c r="I23" s="173">
        <f>H23-I22</f>
        <v>-345159743931</v>
      </c>
      <c r="J23" s="173"/>
    </row>
    <row r="24" spans="1:21" ht="24" customHeight="1" x14ac:dyDescent="0.25">
      <c r="A24" s="427" t="s">
        <v>71</v>
      </c>
      <c r="B24" s="428" t="s">
        <v>465</v>
      </c>
      <c r="C24" s="444">
        <f>C25</f>
        <v>9992829400</v>
      </c>
      <c r="D24" s="429">
        <f>D25</f>
        <v>16215443586</v>
      </c>
      <c r="E24" s="429">
        <f>+D24-C24</f>
        <v>6222614186</v>
      </c>
      <c r="F24" s="432">
        <f t="shared" si="0"/>
        <v>162.27079375537022</v>
      </c>
      <c r="G24" s="174"/>
      <c r="H24" s="440"/>
    </row>
    <row r="25" spans="1:21" ht="24" customHeight="1" x14ac:dyDescent="0.25">
      <c r="A25" s="435">
        <v>1</v>
      </c>
      <c r="B25" s="436" t="s">
        <v>465</v>
      </c>
      <c r="C25" s="437">
        <v>9992829400</v>
      </c>
      <c r="D25" s="437">
        <v>16215443586</v>
      </c>
      <c r="E25" s="437">
        <f>+D25-C25</f>
        <v>6222614186</v>
      </c>
      <c r="F25" s="438">
        <f t="shared" si="0"/>
        <v>162.27079375537022</v>
      </c>
      <c r="H25" s="440"/>
      <c r="I25" s="173"/>
      <c r="J25" s="173"/>
    </row>
    <row r="26" spans="1:21" ht="24" customHeight="1" x14ac:dyDescent="0.25">
      <c r="A26" s="427" t="s">
        <v>89</v>
      </c>
      <c r="B26" s="428" t="s">
        <v>466</v>
      </c>
      <c r="C26" s="437"/>
      <c r="D26" s="429">
        <f>'61'!F56</f>
        <v>5281475446</v>
      </c>
      <c r="E26" s="429">
        <f>+D26-C26</f>
        <v>5281475446</v>
      </c>
      <c r="F26" s="438"/>
      <c r="H26" s="440"/>
      <c r="U26" s="433"/>
    </row>
    <row r="27" spans="1:21" ht="24" customHeight="1" x14ac:dyDescent="0.25">
      <c r="A27" s="427" t="s">
        <v>99</v>
      </c>
      <c r="B27" s="428" t="s">
        <v>467</v>
      </c>
      <c r="C27" s="437"/>
      <c r="D27" s="429">
        <v>541588500</v>
      </c>
      <c r="E27" s="429">
        <f>+D27-C27</f>
        <v>541588500</v>
      </c>
      <c r="F27" s="438"/>
      <c r="H27" s="440"/>
      <c r="U27" s="174"/>
    </row>
    <row r="28" spans="1:21" ht="24" customHeight="1" x14ac:dyDescent="0.25">
      <c r="A28" s="427" t="s">
        <v>101</v>
      </c>
      <c r="B28" s="428" t="s">
        <v>468</v>
      </c>
      <c r="C28" s="437"/>
      <c r="D28" s="429"/>
      <c r="E28" s="429"/>
      <c r="F28" s="438"/>
      <c r="H28" s="440"/>
    </row>
    <row r="29" spans="1:21" s="451" customFormat="1" ht="31.5" x14ac:dyDescent="0.25">
      <c r="A29" s="351" t="s">
        <v>120</v>
      </c>
      <c r="B29" s="445" t="s">
        <v>469</v>
      </c>
      <c r="C29" s="444"/>
      <c r="D29" s="446">
        <f>D8-D19</f>
        <v>123077000</v>
      </c>
      <c r="E29" s="444"/>
      <c r="F29" s="447"/>
      <c r="G29" s="448">
        <f>148328646+681354582</f>
        <v>829683228</v>
      </c>
      <c r="H29" s="449"/>
      <c r="I29" s="450">
        <f>D29*70%</f>
        <v>86153900</v>
      </c>
      <c r="U29" s="448"/>
    </row>
    <row r="30" spans="1:21" ht="21.6" customHeight="1" x14ac:dyDescent="0.25">
      <c r="A30" s="427" t="s">
        <v>130</v>
      </c>
      <c r="B30" s="428" t="s">
        <v>470</v>
      </c>
      <c r="C30" s="437"/>
      <c r="D30" s="437"/>
      <c r="E30" s="437"/>
      <c r="F30" s="452"/>
      <c r="G30" s="433">
        <f>D29-G29</f>
        <v>-706606228</v>
      </c>
      <c r="H30" s="440"/>
      <c r="I30" s="433">
        <f>D29-I29</f>
        <v>36923100</v>
      </c>
      <c r="U30" s="173"/>
    </row>
    <row r="31" spans="1:21" s="176" customFormat="1" x14ac:dyDescent="0.25">
      <c r="A31" s="427" t="s">
        <v>115</v>
      </c>
      <c r="B31" s="428" t="s">
        <v>471</v>
      </c>
      <c r="C31" s="437"/>
      <c r="D31" s="437"/>
      <c r="E31" s="437"/>
      <c r="F31" s="452"/>
      <c r="G31" s="453"/>
      <c r="H31" s="454"/>
    </row>
    <row r="32" spans="1:21" ht="31.5" x14ac:dyDescent="0.25">
      <c r="A32" s="427" t="s">
        <v>71</v>
      </c>
      <c r="B32" s="428" t="s">
        <v>472</v>
      </c>
      <c r="C32" s="437"/>
      <c r="D32" s="437"/>
      <c r="E32" s="437"/>
      <c r="F32" s="452"/>
      <c r="G32" s="433"/>
      <c r="H32" s="431"/>
    </row>
    <row r="33" spans="1:8" ht="19.350000000000001" customHeight="1" x14ac:dyDescent="0.25">
      <c r="A33" s="427" t="s">
        <v>132</v>
      </c>
      <c r="B33" s="428" t="s">
        <v>473</v>
      </c>
      <c r="C33" s="437"/>
      <c r="D33" s="437"/>
      <c r="E33" s="437"/>
      <c r="F33" s="452"/>
      <c r="H33" s="431"/>
    </row>
    <row r="34" spans="1:8" ht="19.350000000000001" customHeight="1" x14ac:dyDescent="0.25">
      <c r="A34" s="427" t="s">
        <v>115</v>
      </c>
      <c r="B34" s="428" t="s">
        <v>474</v>
      </c>
      <c r="C34" s="437"/>
      <c r="D34" s="437"/>
      <c r="E34" s="437"/>
      <c r="F34" s="452"/>
      <c r="H34" s="431"/>
    </row>
    <row r="35" spans="1:8" ht="19.350000000000001" customHeight="1" x14ac:dyDescent="0.25">
      <c r="A35" s="427" t="s">
        <v>71</v>
      </c>
      <c r="B35" s="428" t="s">
        <v>475</v>
      </c>
      <c r="C35" s="437"/>
      <c r="D35" s="437"/>
      <c r="E35" s="437"/>
      <c r="F35" s="452"/>
      <c r="H35" s="431"/>
    </row>
    <row r="36" spans="1:8" ht="31.5" x14ac:dyDescent="0.25">
      <c r="A36" s="427" t="s">
        <v>476</v>
      </c>
      <c r="B36" s="428" t="s">
        <v>477</v>
      </c>
      <c r="C36" s="437"/>
      <c r="D36" s="437"/>
      <c r="E36" s="437"/>
      <c r="F36" s="452"/>
    </row>
    <row r="37" spans="1:8" x14ac:dyDescent="0.25">
      <c r="D37" s="455"/>
      <c r="F37" s="456"/>
    </row>
  </sheetData>
  <mergeCells count="12">
    <mergeCell ref="A1:F1"/>
    <mergeCell ref="H5:N5"/>
    <mergeCell ref="A2:F2"/>
    <mergeCell ref="A3:F3"/>
    <mergeCell ref="H3:N3"/>
    <mergeCell ref="E4:F4"/>
    <mergeCell ref="H4:N4"/>
    <mergeCell ref="A5:A6"/>
    <mergeCell ref="B5:B6"/>
    <mergeCell ref="C5:C6"/>
    <mergeCell ref="D5:D6"/>
    <mergeCell ref="E5:F5"/>
  </mergeCells>
  <printOptions horizontalCentered="1"/>
  <pageMargins left="0.11811023622047245" right="0.11811023622047245" top="0.35433070866141736" bottom="0.15748031496062992" header="0.31496062992125984" footer="0.31496062992125984"/>
  <pageSetup paperSize="9" scale="85" orientation="portrait" verticalDpi="0"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49"/>
  <sheetViews>
    <sheetView zoomScale="80" zoomScaleNormal="80" workbookViewId="0">
      <selection activeCell="D19" sqref="D19"/>
    </sheetView>
  </sheetViews>
  <sheetFormatPr defaultColWidth="9" defaultRowHeight="15.75" x14ac:dyDescent="0.25"/>
  <cols>
    <col min="1" max="1" width="5" style="458" customWidth="1"/>
    <col min="2" max="2" width="30.140625" style="364" customWidth="1"/>
    <col min="3" max="3" width="13.140625" style="508" customWidth="1"/>
    <col min="4" max="4" width="10.85546875" style="458" customWidth="1"/>
    <col min="5" max="5" width="12.85546875" style="458" customWidth="1"/>
    <col min="6" max="6" width="11" style="458" customWidth="1"/>
    <col min="7" max="7" width="7.42578125" style="458" customWidth="1"/>
    <col min="8" max="8" width="10.42578125" style="458" customWidth="1"/>
    <col min="9" max="9" width="12.5703125" style="508" customWidth="1"/>
    <col min="10" max="10" width="8.5703125" style="458" customWidth="1"/>
    <col min="11" max="11" width="13.5703125" style="509" customWidth="1"/>
    <col min="12" max="12" width="10.42578125" style="458" customWidth="1"/>
    <col min="13" max="13" width="7.85546875" style="458" customWidth="1"/>
    <col min="14" max="14" width="11" style="458" customWidth="1"/>
    <col min="15" max="15" width="12" style="458" customWidth="1"/>
    <col min="16" max="16" width="8.42578125" style="458" customWidth="1"/>
    <col min="17" max="17" width="8.140625" style="458" customWidth="1"/>
    <col min="18" max="18" width="6.85546875" style="458" customWidth="1"/>
    <col min="19" max="21" width="6" style="458" customWidth="1"/>
    <col min="22" max="22" width="19.5703125" style="458" hidden="1" customWidth="1"/>
    <col min="23" max="23" width="0" style="458" hidden="1" customWidth="1"/>
    <col min="24" max="24" width="22.140625" style="458" hidden="1" customWidth="1"/>
    <col min="25" max="25" width="15.140625" style="458" customWidth="1"/>
    <col min="26" max="256" width="9" style="458"/>
    <col min="257" max="257" width="5" style="458" customWidth="1"/>
    <col min="258" max="258" width="30.140625" style="458" customWidth="1"/>
    <col min="259" max="259" width="13.140625" style="458" customWidth="1"/>
    <col min="260" max="260" width="10.85546875" style="458" customWidth="1"/>
    <col min="261" max="261" width="12.85546875" style="458" customWidth="1"/>
    <col min="262" max="262" width="11" style="458" customWidth="1"/>
    <col min="263" max="264" width="10.42578125" style="458" customWidth="1"/>
    <col min="265" max="265" width="12.5703125" style="458" customWidth="1"/>
    <col min="266" max="266" width="10.85546875" style="458" customWidth="1"/>
    <col min="267" max="267" width="13.5703125" style="458" customWidth="1"/>
    <col min="268" max="268" width="10.42578125" style="458" customWidth="1"/>
    <col min="269" max="269" width="10.5703125" style="458" customWidth="1"/>
    <col min="270" max="270" width="11" style="458" customWidth="1"/>
    <col min="271" max="272" width="12" style="458" customWidth="1"/>
    <col min="273" max="273" width="11.42578125" style="458" customWidth="1"/>
    <col min="274" max="274" width="6.85546875" style="458" customWidth="1"/>
    <col min="275" max="277" width="6" style="458" customWidth="1"/>
    <col min="278" max="280" width="0" style="458" hidden="1" customWidth="1"/>
    <col min="281" max="281" width="15.140625" style="458" customWidth="1"/>
    <col min="282" max="512" width="9" style="458"/>
    <col min="513" max="513" width="5" style="458" customWidth="1"/>
    <col min="514" max="514" width="30.140625" style="458" customWidth="1"/>
    <col min="515" max="515" width="13.140625" style="458" customWidth="1"/>
    <col min="516" max="516" width="10.85546875" style="458" customWidth="1"/>
    <col min="517" max="517" width="12.85546875" style="458" customWidth="1"/>
    <col min="518" max="518" width="11" style="458" customWidth="1"/>
    <col min="519" max="520" width="10.42578125" style="458" customWidth="1"/>
    <col min="521" max="521" width="12.5703125" style="458" customWidth="1"/>
    <col min="522" max="522" width="10.85546875" style="458" customWidth="1"/>
    <col min="523" max="523" width="13.5703125" style="458" customWidth="1"/>
    <col min="524" max="524" width="10.42578125" style="458" customWidth="1"/>
    <col min="525" max="525" width="10.5703125" style="458" customWidth="1"/>
    <col min="526" max="526" width="11" style="458" customWidth="1"/>
    <col min="527" max="528" width="12" style="458" customWidth="1"/>
    <col min="529" max="529" width="11.42578125" style="458" customWidth="1"/>
    <col min="530" max="530" width="6.85546875" style="458" customWidth="1"/>
    <col min="531" max="533" width="6" style="458" customWidth="1"/>
    <col min="534" max="536" width="0" style="458" hidden="1" customWidth="1"/>
    <col min="537" max="537" width="15.140625" style="458" customWidth="1"/>
    <col min="538" max="768" width="9" style="458"/>
    <col min="769" max="769" width="5" style="458" customWidth="1"/>
    <col min="770" max="770" width="30.140625" style="458" customWidth="1"/>
    <col min="771" max="771" width="13.140625" style="458" customWidth="1"/>
    <col min="772" max="772" width="10.85546875" style="458" customWidth="1"/>
    <col min="773" max="773" width="12.85546875" style="458" customWidth="1"/>
    <col min="774" max="774" width="11" style="458" customWidth="1"/>
    <col min="775" max="776" width="10.42578125" style="458" customWidth="1"/>
    <col min="777" max="777" width="12.5703125" style="458" customWidth="1"/>
    <col min="778" max="778" width="10.85546875" style="458" customWidth="1"/>
    <col min="779" max="779" width="13.5703125" style="458" customWidth="1"/>
    <col min="780" max="780" width="10.42578125" style="458" customWidth="1"/>
    <col min="781" max="781" width="10.5703125" style="458" customWidth="1"/>
    <col min="782" max="782" width="11" style="458" customWidth="1"/>
    <col min="783" max="784" width="12" style="458" customWidth="1"/>
    <col min="785" max="785" width="11.42578125" style="458" customWidth="1"/>
    <col min="786" max="786" width="6.85546875" style="458" customWidth="1"/>
    <col min="787" max="789" width="6" style="458" customWidth="1"/>
    <col min="790" max="792" width="0" style="458" hidden="1" customWidth="1"/>
    <col min="793" max="793" width="15.140625" style="458" customWidth="1"/>
    <col min="794" max="1024" width="9" style="458"/>
    <col min="1025" max="1025" width="5" style="458" customWidth="1"/>
    <col min="1026" max="1026" width="30.140625" style="458" customWidth="1"/>
    <col min="1027" max="1027" width="13.140625" style="458" customWidth="1"/>
    <col min="1028" max="1028" width="10.85546875" style="458" customWidth="1"/>
    <col min="1029" max="1029" width="12.85546875" style="458" customWidth="1"/>
    <col min="1030" max="1030" width="11" style="458" customWidth="1"/>
    <col min="1031" max="1032" width="10.42578125" style="458" customWidth="1"/>
    <col min="1033" max="1033" width="12.5703125" style="458" customWidth="1"/>
    <col min="1034" max="1034" width="10.85546875" style="458" customWidth="1"/>
    <col min="1035" max="1035" width="13.5703125" style="458" customWidth="1"/>
    <col min="1036" max="1036" width="10.42578125" style="458" customWidth="1"/>
    <col min="1037" max="1037" width="10.5703125" style="458" customWidth="1"/>
    <col min="1038" max="1038" width="11" style="458" customWidth="1"/>
    <col min="1039" max="1040" width="12" style="458" customWidth="1"/>
    <col min="1041" max="1041" width="11.42578125" style="458" customWidth="1"/>
    <col min="1042" max="1042" width="6.85546875" style="458" customWidth="1"/>
    <col min="1043" max="1045" width="6" style="458" customWidth="1"/>
    <col min="1046" max="1048" width="0" style="458" hidden="1" customWidth="1"/>
    <col min="1049" max="1049" width="15.140625" style="458" customWidth="1"/>
    <col min="1050" max="1280" width="9" style="458"/>
    <col min="1281" max="1281" width="5" style="458" customWidth="1"/>
    <col min="1282" max="1282" width="30.140625" style="458" customWidth="1"/>
    <col min="1283" max="1283" width="13.140625" style="458" customWidth="1"/>
    <col min="1284" max="1284" width="10.85546875" style="458" customWidth="1"/>
    <col min="1285" max="1285" width="12.85546875" style="458" customWidth="1"/>
    <col min="1286" max="1286" width="11" style="458" customWidth="1"/>
    <col min="1287" max="1288" width="10.42578125" style="458" customWidth="1"/>
    <col min="1289" max="1289" width="12.5703125" style="458" customWidth="1"/>
    <col min="1290" max="1290" width="10.85546875" style="458" customWidth="1"/>
    <col min="1291" max="1291" width="13.5703125" style="458" customWidth="1"/>
    <col min="1292" max="1292" width="10.42578125" style="458" customWidth="1"/>
    <col min="1293" max="1293" width="10.5703125" style="458" customWidth="1"/>
    <col min="1294" max="1294" width="11" style="458" customWidth="1"/>
    <col min="1295" max="1296" width="12" style="458" customWidth="1"/>
    <col min="1297" max="1297" width="11.42578125" style="458" customWidth="1"/>
    <col min="1298" max="1298" width="6.85546875" style="458" customWidth="1"/>
    <col min="1299" max="1301" width="6" style="458" customWidth="1"/>
    <col min="1302" max="1304" width="0" style="458" hidden="1" customWidth="1"/>
    <col min="1305" max="1305" width="15.140625" style="458" customWidth="1"/>
    <col min="1306" max="1536" width="9" style="458"/>
    <col min="1537" max="1537" width="5" style="458" customWidth="1"/>
    <col min="1538" max="1538" width="30.140625" style="458" customWidth="1"/>
    <col min="1539" max="1539" width="13.140625" style="458" customWidth="1"/>
    <col min="1540" max="1540" width="10.85546875" style="458" customWidth="1"/>
    <col min="1541" max="1541" width="12.85546875" style="458" customWidth="1"/>
    <col min="1542" max="1542" width="11" style="458" customWidth="1"/>
    <col min="1543" max="1544" width="10.42578125" style="458" customWidth="1"/>
    <col min="1545" max="1545" width="12.5703125" style="458" customWidth="1"/>
    <col min="1546" max="1546" width="10.85546875" style="458" customWidth="1"/>
    <col min="1547" max="1547" width="13.5703125" style="458" customWidth="1"/>
    <col min="1548" max="1548" width="10.42578125" style="458" customWidth="1"/>
    <col min="1549" max="1549" width="10.5703125" style="458" customWidth="1"/>
    <col min="1550" max="1550" width="11" style="458" customWidth="1"/>
    <col min="1551" max="1552" width="12" style="458" customWidth="1"/>
    <col min="1553" max="1553" width="11.42578125" style="458" customWidth="1"/>
    <col min="1554" max="1554" width="6.85546875" style="458" customWidth="1"/>
    <col min="1555" max="1557" width="6" style="458" customWidth="1"/>
    <col min="1558" max="1560" width="0" style="458" hidden="1" customWidth="1"/>
    <col min="1561" max="1561" width="15.140625" style="458" customWidth="1"/>
    <col min="1562" max="1792" width="9" style="458"/>
    <col min="1793" max="1793" width="5" style="458" customWidth="1"/>
    <col min="1794" max="1794" width="30.140625" style="458" customWidth="1"/>
    <col min="1795" max="1795" width="13.140625" style="458" customWidth="1"/>
    <col min="1796" max="1796" width="10.85546875" style="458" customWidth="1"/>
    <col min="1797" max="1797" width="12.85546875" style="458" customWidth="1"/>
    <col min="1798" max="1798" width="11" style="458" customWidth="1"/>
    <col min="1799" max="1800" width="10.42578125" style="458" customWidth="1"/>
    <col min="1801" max="1801" width="12.5703125" style="458" customWidth="1"/>
    <col min="1802" max="1802" width="10.85546875" style="458" customWidth="1"/>
    <col min="1803" max="1803" width="13.5703125" style="458" customWidth="1"/>
    <col min="1804" max="1804" width="10.42578125" style="458" customWidth="1"/>
    <col min="1805" max="1805" width="10.5703125" style="458" customWidth="1"/>
    <col min="1806" max="1806" width="11" style="458" customWidth="1"/>
    <col min="1807" max="1808" width="12" style="458" customWidth="1"/>
    <col min="1809" max="1809" width="11.42578125" style="458" customWidth="1"/>
    <col min="1810" max="1810" width="6.85546875" style="458" customWidth="1"/>
    <col min="1811" max="1813" width="6" style="458" customWidth="1"/>
    <col min="1814" max="1816" width="0" style="458" hidden="1" customWidth="1"/>
    <col min="1817" max="1817" width="15.140625" style="458" customWidth="1"/>
    <col min="1818" max="2048" width="9" style="458"/>
    <col min="2049" max="2049" width="5" style="458" customWidth="1"/>
    <col min="2050" max="2050" width="30.140625" style="458" customWidth="1"/>
    <col min="2051" max="2051" width="13.140625" style="458" customWidth="1"/>
    <col min="2052" max="2052" width="10.85546875" style="458" customWidth="1"/>
    <col min="2053" max="2053" width="12.85546875" style="458" customWidth="1"/>
    <col min="2054" max="2054" width="11" style="458" customWidth="1"/>
    <col min="2055" max="2056" width="10.42578125" style="458" customWidth="1"/>
    <col min="2057" max="2057" width="12.5703125" style="458" customWidth="1"/>
    <col min="2058" max="2058" width="10.85546875" style="458" customWidth="1"/>
    <col min="2059" max="2059" width="13.5703125" style="458" customWidth="1"/>
    <col min="2060" max="2060" width="10.42578125" style="458" customWidth="1"/>
    <col min="2061" max="2061" width="10.5703125" style="458" customWidth="1"/>
    <col min="2062" max="2062" width="11" style="458" customWidth="1"/>
    <col min="2063" max="2064" width="12" style="458" customWidth="1"/>
    <col min="2065" max="2065" width="11.42578125" style="458" customWidth="1"/>
    <col min="2066" max="2066" width="6.85546875" style="458" customWidth="1"/>
    <col min="2067" max="2069" width="6" style="458" customWidth="1"/>
    <col min="2070" max="2072" width="0" style="458" hidden="1" customWidth="1"/>
    <col min="2073" max="2073" width="15.140625" style="458" customWidth="1"/>
    <col min="2074" max="2304" width="9" style="458"/>
    <col min="2305" max="2305" width="5" style="458" customWidth="1"/>
    <col min="2306" max="2306" width="30.140625" style="458" customWidth="1"/>
    <col min="2307" max="2307" width="13.140625" style="458" customWidth="1"/>
    <col min="2308" max="2308" width="10.85546875" style="458" customWidth="1"/>
    <col min="2309" max="2309" width="12.85546875" style="458" customWidth="1"/>
    <col min="2310" max="2310" width="11" style="458" customWidth="1"/>
    <col min="2311" max="2312" width="10.42578125" style="458" customWidth="1"/>
    <col min="2313" max="2313" width="12.5703125" style="458" customWidth="1"/>
    <col min="2314" max="2314" width="10.85546875" style="458" customWidth="1"/>
    <col min="2315" max="2315" width="13.5703125" style="458" customWidth="1"/>
    <col min="2316" max="2316" width="10.42578125" style="458" customWidth="1"/>
    <col min="2317" max="2317" width="10.5703125" style="458" customWidth="1"/>
    <col min="2318" max="2318" width="11" style="458" customWidth="1"/>
    <col min="2319" max="2320" width="12" style="458" customWidth="1"/>
    <col min="2321" max="2321" width="11.42578125" style="458" customWidth="1"/>
    <col min="2322" max="2322" width="6.85546875" style="458" customWidth="1"/>
    <col min="2323" max="2325" width="6" style="458" customWidth="1"/>
    <col min="2326" max="2328" width="0" style="458" hidden="1" customWidth="1"/>
    <col min="2329" max="2329" width="15.140625" style="458" customWidth="1"/>
    <col min="2330" max="2560" width="9" style="458"/>
    <col min="2561" max="2561" width="5" style="458" customWidth="1"/>
    <col min="2562" max="2562" width="30.140625" style="458" customWidth="1"/>
    <col min="2563" max="2563" width="13.140625" style="458" customWidth="1"/>
    <col min="2564" max="2564" width="10.85546875" style="458" customWidth="1"/>
    <col min="2565" max="2565" width="12.85546875" style="458" customWidth="1"/>
    <col min="2566" max="2566" width="11" style="458" customWidth="1"/>
    <col min="2567" max="2568" width="10.42578125" style="458" customWidth="1"/>
    <col min="2569" max="2569" width="12.5703125" style="458" customWidth="1"/>
    <col min="2570" max="2570" width="10.85546875" style="458" customWidth="1"/>
    <col min="2571" max="2571" width="13.5703125" style="458" customWidth="1"/>
    <col min="2572" max="2572" width="10.42578125" style="458" customWidth="1"/>
    <col min="2573" max="2573" width="10.5703125" style="458" customWidth="1"/>
    <col min="2574" max="2574" width="11" style="458" customWidth="1"/>
    <col min="2575" max="2576" width="12" style="458" customWidth="1"/>
    <col min="2577" max="2577" width="11.42578125" style="458" customWidth="1"/>
    <col min="2578" max="2578" width="6.85546875" style="458" customWidth="1"/>
    <col min="2579" max="2581" width="6" style="458" customWidth="1"/>
    <col min="2582" max="2584" width="0" style="458" hidden="1" customWidth="1"/>
    <col min="2585" max="2585" width="15.140625" style="458" customWidth="1"/>
    <col min="2586" max="2816" width="9" style="458"/>
    <col min="2817" max="2817" width="5" style="458" customWidth="1"/>
    <col min="2818" max="2818" width="30.140625" style="458" customWidth="1"/>
    <col min="2819" max="2819" width="13.140625" style="458" customWidth="1"/>
    <col min="2820" max="2820" width="10.85546875" style="458" customWidth="1"/>
    <col min="2821" max="2821" width="12.85546875" style="458" customWidth="1"/>
    <col min="2822" max="2822" width="11" style="458" customWidth="1"/>
    <col min="2823" max="2824" width="10.42578125" style="458" customWidth="1"/>
    <col min="2825" max="2825" width="12.5703125" style="458" customWidth="1"/>
    <col min="2826" max="2826" width="10.85546875" style="458" customWidth="1"/>
    <col min="2827" max="2827" width="13.5703125" style="458" customWidth="1"/>
    <col min="2828" max="2828" width="10.42578125" style="458" customWidth="1"/>
    <col min="2829" max="2829" width="10.5703125" style="458" customWidth="1"/>
    <col min="2830" max="2830" width="11" style="458" customWidth="1"/>
    <col min="2831" max="2832" width="12" style="458" customWidth="1"/>
    <col min="2833" max="2833" width="11.42578125" style="458" customWidth="1"/>
    <col min="2834" max="2834" width="6.85546875" style="458" customWidth="1"/>
    <col min="2835" max="2837" width="6" style="458" customWidth="1"/>
    <col min="2838" max="2840" width="0" style="458" hidden="1" customWidth="1"/>
    <col min="2841" max="2841" width="15.140625" style="458" customWidth="1"/>
    <col min="2842" max="3072" width="9" style="458"/>
    <col min="3073" max="3073" width="5" style="458" customWidth="1"/>
    <col min="3074" max="3074" width="30.140625" style="458" customWidth="1"/>
    <col min="3075" max="3075" width="13.140625" style="458" customWidth="1"/>
    <col min="3076" max="3076" width="10.85546875" style="458" customWidth="1"/>
    <col min="3077" max="3077" width="12.85546875" style="458" customWidth="1"/>
    <col min="3078" max="3078" width="11" style="458" customWidth="1"/>
    <col min="3079" max="3080" width="10.42578125" style="458" customWidth="1"/>
    <col min="3081" max="3081" width="12.5703125" style="458" customWidth="1"/>
    <col min="3082" max="3082" width="10.85546875" style="458" customWidth="1"/>
    <col min="3083" max="3083" width="13.5703125" style="458" customWidth="1"/>
    <col min="3084" max="3084" width="10.42578125" style="458" customWidth="1"/>
    <col min="3085" max="3085" width="10.5703125" style="458" customWidth="1"/>
    <col min="3086" max="3086" width="11" style="458" customWidth="1"/>
    <col min="3087" max="3088" width="12" style="458" customWidth="1"/>
    <col min="3089" max="3089" width="11.42578125" style="458" customWidth="1"/>
    <col min="3090" max="3090" width="6.85546875" style="458" customWidth="1"/>
    <col min="3091" max="3093" width="6" style="458" customWidth="1"/>
    <col min="3094" max="3096" width="0" style="458" hidden="1" customWidth="1"/>
    <col min="3097" max="3097" width="15.140625" style="458" customWidth="1"/>
    <col min="3098" max="3328" width="9" style="458"/>
    <col min="3329" max="3329" width="5" style="458" customWidth="1"/>
    <col min="3330" max="3330" width="30.140625" style="458" customWidth="1"/>
    <col min="3331" max="3331" width="13.140625" style="458" customWidth="1"/>
    <col min="3332" max="3332" width="10.85546875" style="458" customWidth="1"/>
    <col min="3333" max="3333" width="12.85546875" style="458" customWidth="1"/>
    <col min="3334" max="3334" width="11" style="458" customWidth="1"/>
    <col min="3335" max="3336" width="10.42578125" style="458" customWidth="1"/>
    <col min="3337" max="3337" width="12.5703125" style="458" customWidth="1"/>
    <col min="3338" max="3338" width="10.85546875" style="458" customWidth="1"/>
    <col min="3339" max="3339" width="13.5703125" style="458" customWidth="1"/>
    <col min="3340" max="3340" width="10.42578125" style="458" customWidth="1"/>
    <col min="3341" max="3341" width="10.5703125" style="458" customWidth="1"/>
    <col min="3342" max="3342" width="11" style="458" customWidth="1"/>
    <col min="3343" max="3344" width="12" style="458" customWidth="1"/>
    <col min="3345" max="3345" width="11.42578125" style="458" customWidth="1"/>
    <col min="3346" max="3346" width="6.85546875" style="458" customWidth="1"/>
    <col min="3347" max="3349" width="6" style="458" customWidth="1"/>
    <col min="3350" max="3352" width="0" style="458" hidden="1" customWidth="1"/>
    <col min="3353" max="3353" width="15.140625" style="458" customWidth="1"/>
    <col min="3354" max="3584" width="9" style="458"/>
    <col min="3585" max="3585" width="5" style="458" customWidth="1"/>
    <col min="3586" max="3586" width="30.140625" style="458" customWidth="1"/>
    <col min="3587" max="3587" width="13.140625" style="458" customWidth="1"/>
    <col min="3588" max="3588" width="10.85546875" style="458" customWidth="1"/>
    <col min="3589" max="3589" width="12.85546875" style="458" customWidth="1"/>
    <col min="3590" max="3590" width="11" style="458" customWidth="1"/>
    <col min="3591" max="3592" width="10.42578125" style="458" customWidth="1"/>
    <col min="3593" max="3593" width="12.5703125" style="458" customWidth="1"/>
    <col min="3594" max="3594" width="10.85546875" style="458" customWidth="1"/>
    <col min="3595" max="3595" width="13.5703125" style="458" customWidth="1"/>
    <col min="3596" max="3596" width="10.42578125" style="458" customWidth="1"/>
    <col min="3597" max="3597" width="10.5703125" style="458" customWidth="1"/>
    <col min="3598" max="3598" width="11" style="458" customWidth="1"/>
    <col min="3599" max="3600" width="12" style="458" customWidth="1"/>
    <col min="3601" max="3601" width="11.42578125" style="458" customWidth="1"/>
    <col min="3602" max="3602" width="6.85546875" style="458" customWidth="1"/>
    <col min="3603" max="3605" width="6" style="458" customWidth="1"/>
    <col min="3606" max="3608" width="0" style="458" hidden="1" customWidth="1"/>
    <col min="3609" max="3609" width="15.140625" style="458" customWidth="1"/>
    <col min="3610" max="3840" width="9" style="458"/>
    <col min="3841" max="3841" width="5" style="458" customWidth="1"/>
    <col min="3842" max="3842" width="30.140625" style="458" customWidth="1"/>
    <col min="3843" max="3843" width="13.140625" style="458" customWidth="1"/>
    <col min="3844" max="3844" width="10.85546875" style="458" customWidth="1"/>
    <col min="3845" max="3845" width="12.85546875" style="458" customWidth="1"/>
    <col min="3846" max="3846" width="11" style="458" customWidth="1"/>
    <col min="3847" max="3848" width="10.42578125" style="458" customWidth="1"/>
    <col min="3849" max="3849" width="12.5703125" style="458" customWidth="1"/>
    <col min="3850" max="3850" width="10.85546875" style="458" customWidth="1"/>
    <col min="3851" max="3851" width="13.5703125" style="458" customWidth="1"/>
    <col min="3852" max="3852" width="10.42578125" style="458" customWidth="1"/>
    <col min="3853" max="3853" width="10.5703125" style="458" customWidth="1"/>
    <col min="3854" max="3854" width="11" style="458" customWidth="1"/>
    <col min="3855" max="3856" width="12" style="458" customWidth="1"/>
    <col min="3857" max="3857" width="11.42578125" style="458" customWidth="1"/>
    <col min="3858" max="3858" width="6.85546875" style="458" customWidth="1"/>
    <col min="3859" max="3861" width="6" style="458" customWidth="1"/>
    <col min="3862" max="3864" width="0" style="458" hidden="1" customWidth="1"/>
    <col min="3865" max="3865" width="15.140625" style="458" customWidth="1"/>
    <col min="3866" max="4096" width="9" style="458"/>
    <col min="4097" max="4097" width="5" style="458" customWidth="1"/>
    <col min="4098" max="4098" width="30.140625" style="458" customWidth="1"/>
    <col min="4099" max="4099" width="13.140625" style="458" customWidth="1"/>
    <col min="4100" max="4100" width="10.85546875" style="458" customWidth="1"/>
    <col min="4101" max="4101" width="12.85546875" style="458" customWidth="1"/>
    <col min="4102" max="4102" width="11" style="458" customWidth="1"/>
    <col min="4103" max="4104" width="10.42578125" style="458" customWidth="1"/>
    <col min="4105" max="4105" width="12.5703125" style="458" customWidth="1"/>
    <col min="4106" max="4106" width="10.85546875" style="458" customWidth="1"/>
    <col min="4107" max="4107" width="13.5703125" style="458" customWidth="1"/>
    <col min="4108" max="4108" width="10.42578125" style="458" customWidth="1"/>
    <col min="4109" max="4109" width="10.5703125" style="458" customWidth="1"/>
    <col min="4110" max="4110" width="11" style="458" customWidth="1"/>
    <col min="4111" max="4112" width="12" style="458" customWidth="1"/>
    <col min="4113" max="4113" width="11.42578125" style="458" customWidth="1"/>
    <col min="4114" max="4114" width="6.85546875" style="458" customWidth="1"/>
    <col min="4115" max="4117" width="6" style="458" customWidth="1"/>
    <col min="4118" max="4120" width="0" style="458" hidden="1" customWidth="1"/>
    <col min="4121" max="4121" width="15.140625" style="458" customWidth="1"/>
    <col min="4122" max="4352" width="9" style="458"/>
    <col min="4353" max="4353" width="5" style="458" customWidth="1"/>
    <col min="4354" max="4354" width="30.140625" style="458" customWidth="1"/>
    <col min="4355" max="4355" width="13.140625" style="458" customWidth="1"/>
    <col min="4356" max="4356" width="10.85546875" style="458" customWidth="1"/>
    <col min="4357" max="4357" width="12.85546875" style="458" customWidth="1"/>
    <col min="4358" max="4358" width="11" style="458" customWidth="1"/>
    <col min="4359" max="4360" width="10.42578125" style="458" customWidth="1"/>
    <col min="4361" max="4361" width="12.5703125" style="458" customWidth="1"/>
    <col min="4362" max="4362" width="10.85546875" style="458" customWidth="1"/>
    <col min="4363" max="4363" width="13.5703125" style="458" customWidth="1"/>
    <col min="4364" max="4364" width="10.42578125" style="458" customWidth="1"/>
    <col min="4365" max="4365" width="10.5703125" style="458" customWidth="1"/>
    <col min="4366" max="4366" width="11" style="458" customWidth="1"/>
    <col min="4367" max="4368" width="12" style="458" customWidth="1"/>
    <col min="4369" max="4369" width="11.42578125" style="458" customWidth="1"/>
    <col min="4370" max="4370" width="6.85546875" style="458" customWidth="1"/>
    <col min="4371" max="4373" width="6" style="458" customWidth="1"/>
    <col min="4374" max="4376" width="0" style="458" hidden="1" customWidth="1"/>
    <col min="4377" max="4377" width="15.140625" style="458" customWidth="1"/>
    <col min="4378" max="4608" width="9" style="458"/>
    <col min="4609" max="4609" width="5" style="458" customWidth="1"/>
    <col min="4610" max="4610" width="30.140625" style="458" customWidth="1"/>
    <col min="4611" max="4611" width="13.140625" style="458" customWidth="1"/>
    <col min="4612" max="4612" width="10.85546875" style="458" customWidth="1"/>
    <col min="4613" max="4613" width="12.85546875" style="458" customWidth="1"/>
    <col min="4614" max="4614" width="11" style="458" customWidth="1"/>
    <col min="4615" max="4616" width="10.42578125" style="458" customWidth="1"/>
    <col min="4617" max="4617" width="12.5703125" style="458" customWidth="1"/>
    <col min="4618" max="4618" width="10.85546875" style="458" customWidth="1"/>
    <col min="4619" max="4619" width="13.5703125" style="458" customWidth="1"/>
    <col min="4620" max="4620" width="10.42578125" style="458" customWidth="1"/>
    <col min="4621" max="4621" width="10.5703125" style="458" customWidth="1"/>
    <col min="4622" max="4622" width="11" style="458" customWidth="1"/>
    <col min="4623" max="4624" width="12" style="458" customWidth="1"/>
    <col min="4625" max="4625" width="11.42578125" style="458" customWidth="1"/>
    <col min="4626" max="4626" width="6.85546875" style="458" customWidth="1"/>
    <col min="4627" max="4629" width="6" style="458" customWidth="1"/>
    <col min="4630" max="4632" width="0" style="458" hidden="1" customWidth="1"/>
    <col min="4633" max="4633" width="15.140625" style="458" customWidth="1"/>
    <col min="4634" max="4864" width="9" style="458"/>
    <col min="4865" max="4865" width="5" style="458" customWidth="1"/>
    <col min="4866" max="4866" width="30.140625" style="458" customWidth="1"/>
    <col min="4867" max="4867" width="13.140625" style="458" customWidth="1"/>
    <col min="4868" max="4868" width="10.85546875" style="458" customWidth="1"/>
    <col min="4869" max="4869" width="12.85546875" style="458" customWidth="1"/>
    <col min="4870" max="4870" width="11" style="458" customWidth="1"/>
    <col min="4871" max="4872" width="10.42578125" style="458" customWidth="1"/>
    <col min="4873" max="4873" width="12.5703125" style="458" customWidth="1"/>
    <col min="4874" max="4874" width="10.85546875" style="458" customWidth="1"/>
    <col min="4875" max="4875" width="13.5703125" style="458" customWidth="1"/>
    <col min="4876" max="4876" width="10.42578125" style="458" customWidth="1"/>
    <col min="4877" max="4877" width="10.5703125" style="458" customWidth="1"/>
    <col min="4878" max="4878" width="11" style="458" customWidth="1"/>
    <col min="4879" max="4880" width="12" style="458" customWidth="1"/>
    <col min="4881" max="4881" width="11.42578125" style="458" customWidth="1"/>
    <col min="4882" max="4882" width="6.85546875" style="458" customWidth="1"/>
    <col min="4883" max="4885" width="6" style="458" customWidth="1"/>
    <col min="4886" max="4888" width="0" style="458" hidden="1" customWidth="1"/>
    <col min="4889" max="4889" width="15.140625" style="458" customWidth="1"/>
    <col min="4890" max="5120" width="9" style="458"/>
    <col min="5121" max="5121" width="5" style="458" customWidth="1"/>
    <col min="5122" max="5122" width="30.140625" style="458" customWidth="1"/>
    <col min="5123" max="5123" width="13.140625" style="458" customWidth="1"/>
    <col min="5124" max="5124" width="10.85546875" style="458" customWidth="1"/>
    <col min="5125" max="5125" width="12.85546875" style="458" customWidth="1"/>
    <col min="5126" max="5126" width="11" style="458" customWidth="1"/>
    <col min="5127" max="5128" width="10.42578125" style="458" customWidth="1"/>
    <col min="5129" max="5129" width="12.5703125" style="458" customWidth="1"/>
    <col min="5130" max="5130" width="10.85546875" style="458" customWidth="1"/>
    <col min="5131" max="5131" width="13.5703125" style="458" customWidth="1"/>
    <col min="5132" max="5132" width="10.42578125" style="458" customWidth="1"/>
    <col min="5133" max="5133" width="10.5703125" style="458" customWidth="1"/>
    <col min="5134" max="5134" width="11" style="458" customWidth="1"/>
    <col min="5135" max="5136" width="12" style="458" customWidth="1"/>
    <col min="5137" max="5137" width="11.42578125" style="458" customWidth="1"/>
    <col min="5138" max="5138" width="6.85546875" style="458" customWidth="1"/>
    <col min="5139" max="5141" width="6" style="458" customWidth="1"/>
    <col min="5142" max="5144" width="0" style="458" hidden="1" customWidth="1"/>
    <col min="5145" max="5145" width="15.140625" style="458" customWidth="1"/>
    <col min="5146" max="5376" width="9" style="458"/>
    <col min="5377" max="5377" width="5" style="458" customWidth="1"/>
    <col min="5378" max="5378" width="30.140625" style="458" customWidth="1"/>
    <col min="5379" max="5379" width="13.140625" style="458" customWidth="1"/>
    <col min="5380" max="5380" width="10.85546875" style="458" customWidth="1"/>
    <col min="5381" max="5381" width="12.85546875" style="458" customWidth="1"/>
    <col min="5382" max="5382" width="11" style="458" customWidth="1"/>
    <col min="5383" max="5384" width="10.42578125" style="458" customWidth="1"/>
    <col min="5385" max="5385" width="12.5703125" style="458" customWidth="1"/>
    <col min="5386" max="5386" width="10.85546875" style="458" customWidth="1"/>
    <col min="5387" max="5387" width="13.5703125" style="458" customWidth="1"/>
    <col min="5388" max="5388" width="10.42578125" style="458" customWidth="1"/>
    <col min="5389" max="5389" width="10.5703125" style="458" customWidth="1"/>
    <col min="5390" max="5390" width="11" style="458" customWidth="1"/>
    <col min="5391" max="5392" width="12" style="458" customWidth="1"/>
    <col min="5393" max="5393" width="11.42578125" style="458" customWidth="1"/>
    <col min="5394" max="5394" width="6.85546875" style="458" customWidth="1"/>
    <col min="5395" max="5397" width="6" style="458" customWidth="1"/>
    <col min="5398" max="5400" width="0" style="458" hidden="1" customWidth="1"/>
    <col min="5401" max="5401" width="15.140625" style="458" customWidth="1"/>
    <col min="5402" max="5632" width="9" style="458"/>
    <col min="5633" max="5633" width="5" style="458" customWidth="1"/>
    <col min="5634" max="5634" width="30.140625" style="458" customWidth="1"/>
    <col min="5635" max="5635" width="13.140625" style="458" customWidth="1"/>
    <col min="5636" max="5636" width="10.85546875" style="458" customWidth="1"/>
    <col min="5637" max="5637" width="12.85546875" style="458" customWidth="1"/>
    <col min="5638" max="5638" width="11" style="458" customWidth="1"/>
    <col min="5639" max="5640" width="10.42578125" style="458" customWidth="1"/>
    <col min="5641" max="5641" width="12.5703125" style="458" customWidth="1"/>
    <col min="5642" max="5642" width="10.85546875" style="458" customWidth="1"/>
    <col min="5643" max="5643" width="13.5703125" style="458" customWidth="1"/>
    <col min="5644" max="5644" width="10.42578125" style="458" customWidth="1"/>
    <col min="5645" max="5645" width="10.5703125" style="458" customWidth="1"/>
    <col min="5646" max="5646" width="11" style="458" customWidth="1"/>
    <col min="5647" max="5648" width="12" style="458" customWidth="1"/>
    <col min="5649" max="5649" width="11.42578125" style="458" customWidth="1"/>
    <col min="5650" max="5650" width="6.85546875" style="458" customWidth="1"/>
    <col min="5651" max="5653" width="6" style="458" customWidth="1"/>
    <col min="5654" max="5656" width="0" style="458" hidden="1" customWidth="1"/>
    <col min="5657" max="5657" width="15.140625" style="458" customWidth="1"/>
    <col min="5658" max="5888" width="9" style="458"/>
    <col min="5889" max="5889" width="5" style="458" customWidth="1"/>
    <col min="5890" max="5890" width="30.140625" style="458" customWidth="1"/>
    <col min="5891" max="5891" width="13.140625" style="458" customWidth="1"/>
    <col min="5892" max="5892" width="10.85546875" style="458" customWidth="1"/>
    <col min="5893" max="5893" width="12.85546875" style="458" customWidth="1"/>
    <col min="5894" max="5894" width="11" style="458" customWidth="1"/>
    <col min="5895" max="5896" width="10.42578125" style="458" customWidth="1"/>
    <col min="5897" max="5897" width="12.5703125" style="458" customWidth="1"/>
    <col min="5898" max="5898" width="10.85546875" style="458" customWidth="1"/>
    <col min="5899" max="5899" width="13.5703125" style="458" customWidth="1"/>
    <col min="5900" max="5900" width="10.42578125" style="458" customWidth="1"/>
    <col min="5901" max="5901" width="10.5703125" style="458" customWidth="1"/>
    <col min="5902" max="5902" width="11" style="458" customWidth="1"/>
    <col min="5903" max="5904" width="12" style="458" customWidth="1"/>
    <col min="5905" max="5905" width="11.42578125" style="458" customWidth="1"/>
    <col min="5906" max="5906" width="6.85546875" style="458" customWidth="1"/>
    <col min="5907" max="5909" width="6" style="458" customWidth="1"/>
    <col min="5910" max="5912" width="0" style="458" hidden="1" customWidth="1"/>
    <col min="5913" max="5913" width="15.140625" style="458" customWidth="1"/>
    <col min="5914" max="6144" width="9" style="458"/>
    <col min="6145" max="6145" width="5" style="458" customWidth="1"/>
    <col min="6146" max="6146" width="30.140625" style="458" customWidth="1"/>
    <col min="6147" max="6147" width="13.140625" style="458" customWidth="1"/>
    <col min="6148" max="6148" width="10.85546875" style="458" customWidth="1"/>
    <col min="6149" max="6149" width="12.85546875" style="458" customWidth="1"/>
    <col min="6150" max="6150" width="11" style="458" customWidth="1"/>
    <col min="6151" max="6152" width="10.42578125" style="458" customWidth="1"/>
    <col min="6153" max="6153" width="12.5703125" style="458" customWidth="1"/>
    <col min="6154" max="6154" width="10.85546875" style="458" customWidth="1"/>
    <col min="6155" max="6155" width="13.5703125" style="458" customWidth="1"/>
    <col min="6156" max="6156" width="10.42578125" style="458" customWidth="1"/>
    <col min="6157" max="6157" width="10.5703125" style="458" customWidth="1"/>
    <col min="6158" max="6158" width="11" style="458" customWidth="1"/>
    <col min="6159" max="6160" width="12" style="458" customWidth="1"/>
    <col min="6161" max="6161" width="11.42578125" style="458" customWidth="1"/>
    <col min="6162" max="6162" width="6.85546875" style="458" customWidth="1"/>
    <col min="6163" max="6165" width="6" style="458" customWidth="1"/>
    <col min="6166" max="6168" width="0" style="458" hidden="1" customWidth="1"/>
    <col min="6169" max="6169" width="15.140625" style="458" customWidth="1"/>
    <col min="6170" max="6400" width="9" style="458"/>
    <col min="6401" max="6401" width="5" style="458" customWidth="1"/>
    <col min="6402" max="6402" width="30.140625" style="458" customWidth="1"/>
    <col min="6403" max="6403" width="13.140625" style="458" customWidth="1"/>
    <col min="6404" max="6404" width="10.85546875" style="458" customWidth="1"/>
    <col min="6405" max="6405" width="12.85546875" style="458" customWidth="1"/>
    <col min="6406" max="6406" width="11" style="458" customWidth="1"/>
    <col min="6407" max="6408" width="10.42578125" style="458" customWidth="1"/>
    <col min="6409" max="6409" width="12.5703125" style="458" customWidth="1"/>
    <col min="6410" max="6410" width="10.85546875" style="458" customWidth="1"/>
    <col min="6411" max="6411" width="13.5703125" style="458" customWidth="1"/>
    <col min="6412" max="6412" width="10.42578125" style="458" customWidth="1"/>
    <col min="6413" max="6413" width="10.5703125" style="458" customWidth="1"/>
    <col min="6414" max="6414" width="11" style="458" customWidth="1"/>
    <col min="6415" max="6416" width="12" style="458" customWidth="1"/>
    <col min="6417" max="6417" width="11.42578125" style="458" customWidth="1"/>
    <col min="6418" max="6418" width="6.85546875" style="458" customWidth="1"/>
    <col min="6419" max="6421" width="6" style="458" customWidth="1"/>
    <col min="6422" max="6424" width="0" style="458" hidden="1" customWidth="1"/>
    <col min="6425" max="6425" width="15.140625" style="458" customWidth="1"/>
    <col min="6426" max="6656" width="9" style="458"/>
    <col min="6657" max="6657" width="5" style="458" customWidth="1"/>
    <col min="6658" max="6658" width="30.140625" style="458" customWidth="1"/>
    <col min="6659" max="6659" width="13.140625" style="458" customWidth="1"/>
    <col min="6660" max="6660" width="10.85546875" style="458" customWidth="1"/>
    <col min="6661" max="6661" width="12.85546875" style="458" customWidth="1"/>
    <col min="6662" max="6662" width="11" style="458" customWidth="1"/>
    <col min="6663" max="6664" width="10.42578125" style="458" customWidth="1"/>
    <col min="6665" max="6665" width="12.5703125" style="458" customWidth="1"/>
    <col min="6666" max="6666" width="10.85546875" style="458" customWidth="1"/>
    <col min="6667" max="6667" width="13.5703125" style="458" customWidth="1"/>
    <col min="6668" max="6668" width="10.42578125" style="458" customWidth="1"/>
    <col min="6669" max="6669" width="10.5703125" style="458" customWidth="1"/>
    <col min="6670" max="6670" width="11" style="458" customWidth="1"/>
    <col min="6671" max="6672" width="12" style="458" customWidth="1"/>
    <col min="6673" max="6673" width="11.42578125" style="458" customWidth="1"/>
    <col min="6674" max="6674" width="6.85546875" style="458" customWidth="1"/>
    <col min="6675" max="6677" width="6" style="458" customWidth="1"/>
    <col min="6678" max="6680" width="0" style="458" hidden="1" customWidth="1"/>
    <col min="6681" max="6681" width="15.140625" style="458" customWidth="1"/>
    <col min="6682" max="6912" width="9" style="458"/>
    <col min="6913" max="6913" width="5" style="458" customWidth="1"/>
    <col min="6914" max="6914" width="30.140625" style="458" customWidth="1"/>
    <col min="6915" max="6915" width="13.140625" style="458" customWidth="1"/>
    <col min="6916" max="6916" width="10.85546875" style="458" customWidth="1"/>
    <col min="6917" max="6917" width="12.85546875" style="458" customWidth="1"/>
    <col min="6918" max="6918" width="11" style="458" customWidth="1"/>
    <col min="6919" max="6920" width="10.42578125" style="458" customWidth="1"/>
    <col min="6921" max="6921" width="12.5703125" style="458" customWidth="1"/>
    <col min="6922" max="6922" width="10.85546875" style="458" customWidth="1"/>
    <col min="6923" max="6923" width="13.5703125" style="458" customWidth="1"/>
    <col min="6924" max="6924" width="10.42578125" style="458" customWidth="1"/>
    <col min="6925" max="6925" width="10.5703125" style="458" customWidth="1"/>
    <col min="6926" max="6926" width="11" style="458" customWidth="1"/>
    <col min="6927" max="6928" width="12" style="458" customWidth="1"/>
    <col min="6929" max="6929" width="11.42578125" style="458" customWidth="1"/>
    <col min="6930" max="6930" width="6.85546875" style="458" customWidth="1"/>
    <col min="6931" max="6933" width="6" style="458" customWidth="1"/>
    <col min="6934" max="6936" width="0" style="458" hidden="1" customWidth="1"/>
    <col min="6937" max="6937" width="15.140625" style="458" customWidth="1"/>
    <col min="6938" max="7168" width="9" style="458"/>
    <col min="7169" max="7169" width="5" style="458" customWidth="1"/>
    <col min="7170" max="7170" width="30.140625" style="458" customWidth="1"/>
    <col min="7171" max="7171" width="13.140625" style="458" customWidth="1"/>
    <col min="7172" max="7172" width="10.85546875" style="458" customWidth="1"/>
    <col min="7173" max="7173" width="12.85546875" style="458" customWidth="1"/>
    <col min="7174" max="7174" width="11" style="458" customWidth="1"/>
    <col min="7175" max="7176" width="10.42578125" style="458" customWidth="1"/>
    <col min="7177" max="7177" width="12.5703125" style="458" customWidth="1"/>
    <col min="7178" max="7178" width="10.85546875" style="458" customWidth="1"/>
    <col min="7179" max="7179" width="13.5703125" style="458" customWidth="1"/>
    <col min="7180" max="7180" width="10.42578125" style="458" customWidth="1"/>
    <col min="7181" max="7181" width="10.5703125" style="458" customWidth="1"/>
    <col min="7182" max="7182" width="11" style="458" customWidth="1"/>
    <col min="7183" max="7184" width="12" style="458" customWidth="1"/>
    <col min="7185" max="7185" width="11.42578125" style="458" customWidth="1"/>
    <col min="7186" max="7186" width="6.85546875" style="458" customWidth="1"/>
    <col min="7187" max="7189" width="6" style="458" customWidth="1"/>
    <col min="7190" max="7192" width="0" style="458" hidden="1" customWidth="1"/>
    <col min="7193" max="7193" width="15.140625" style="458" customWidth="1"/>
    <col min="7194" max="7424" width="9" style="458"/>
    <col min="7425" max="7425" width="5" style="458" customWidth="1"/>
    <col min="7426" max="7426" width="30.140625" style="458" customWidth="1"/>
    <col min="7427" max="7427" width="13.140625" style="458" customWidth="1"/>
    <col min="7428" max="7428" width="10.85546875" style="458" customWidth="1"/>
    <col min="7429" max="7429" width="12.85546875" style="458" customWidth="1"/>
    <col min="7430" max="7430" width="11" style="458" customWidth="1"/>
    <col min="7431" max="7432" width="10.42578125" style="458" customWidth="1"/>
    <col min="7433" max="7433" width="12.5703125" style="458" customWidth="1"/>
    <col min="7434" max="7434" width="10.85546875" style="458" customWidth="1"/>
    <col min="7435" max="7435" width="13.5703125" style="458" customWidth="1"/>
    <col min="7436" max="7436" width="10.42578125" style="458" customWidth="1"/>
    <col min="7437" max="7437" width="10.5703125" style="458" customWidth="1"/>
    <col min="7438" max="7438" width="11" style="458" customWidth="1"/>
    <col min="7439" max="7440" width="12" style="458" customWidth="1"/>
    <col min="7441" max="7441" width="11.42578125" style="458" customWidth="1"/>
    <col min="7442" max="7442" width="6.85546875" style="458" customWidth="1"/>
    <col min="7443" max="7445" width="6" style="458" customWidth="1"/>
    <col min="7446" max="7448" width="0" style="458" hidden="1" customWidth="1"/>
    <col min="7449" max="7449" width="15.140625" style="458" customWidth="1"/>
    <col min="7450" max="7680" width="9" style="458"/>
    <col min="7681" max="7681" width="5" style="458" customWidth="1"/>
    <col min="7682" max="7682" width="30.140625" style="458" customWidth="1"/>
    <col min="7683" max="7683" width="13.140625" style="458" customWidth="1"/>
    <col min="7684" max="7684" width="10.85546875" style="458" customWidth="1"/>
    <col min="7685" max="7685" width="12.85546875" style="458" customWidth="1"/>
    <col min="7686" max="7686" width="11" style="458" customWidth="1"/>
    <col min="7687" max="7688" width="10.42578125" style="458" customWidth="1"/>
    <col min="7689" max="7689" width="12.5703125" style="458" customWidth="1"/>
    <col min="7690" max="7690" width="10.85546875" style="458" customWidth="1"/>
    <col min="7691" max="7691" width="13.5703125" style="458" customWidth="1"/>
    <col min="7692" max="7692" width="10.42578125" style="458" customWidth="1"/>
    <col min="7693" max="7693" width="10.5703125" style="458" customWidth="1"/>
    <col min="7694" max="7694" width="11" style="458" customWidth="1"/>
    <col min="7695" max="7696" width="12" style="458" customWidth="1"/>
    <col min="7697" max="7697" width="11.42578125" style="458" customWidth="1"/>
    <col min="7698" max="7698" width="6.85546875" style="458" customWidth="1"/>
    <col min="7699" max="7701" width="6" style="458" customWidth="1"/>
    <col min="7702" max="7704" width="0" style="458" hidden="1" customWidth="1"/>
    <col min="7705" max="7705" width="15.140625" style="458" customWidth="1"/>
    <col min="7706" max="7936" width="9" style="458"/>
    <col min="7937" max="7937" width="5" style="458" customWidth="1"/>
    <col min="7938" max="7938" width="30.140625" style="458" customWidth="1"/>
    <col min="7939" max="7939" width="13.140625" style="458" customWidth="1"/>
    <col min="7940" max="7940" width="10.85546875" style="458" customWidth="1"/>
    <col min="7941" max="7941" width="12.85546875" style="458" customWidth="1"/>
    <col min="7942" max="7942" width="11" style="458" customWidth="1"/>
    <col min="7943" max="7944" width="10.42578125" style="458" customWidth="1"/>
    <col min="7945" max="7945" width="12.5703125" style="458" customWidth="1"/>
    <col min="7946" max="7946" width="10.85546875" style="458" customWidth="1"/>
    <col min="7947" max="7947" width="13.5703125" style="458" customWidth="1"/>
    <col min="7948" max="7948" width="10.42578125" style="458" customWidth="1"/>
    <col min="7949" max="7949" width="10.5703125" style="458" customWidth="1"/>
    <col min="7950" max="7950" width="11" style="458" customWidth="1"/>
    <col min="7951" max="7952" width="12" style="458" customWidth="1"/>
    <col min="7953" max="7953" width="11.42578125" style="458" customWidth="1"/>
    <col min="7954" max="7954" width="6.85546875" style="458" customWidth="1"/>
    <col min="7955" max="7957" width="6" style="458" customWidth="1"/>
    <col min="7958" max="7960" width="0" style="458" hidden="1" customWidth="1"/>
    <col min="7961" max="7961" width="15.140625" style="458" customWidth="1"/>
    <col min="7962" max="8192" width="9" style="458"/>
    <col min="8193" max="8193" width="5" style="458" customWidth="1"/>
    <col min="8194" max="8194" width="30.140625" style="458" customWidth="1"/>
    <col min="8195" max="8195" width="13.140625" style="458" customWidth="1"/>
    <col min="8196" max="8196" width="10.85546875" style="458" customWidth="1"/>
    <col min="8197" max="8197" width="12.85546875" style="458" customWidth="1"/>
    <col min="8198" max="8198" width="11" style="458" customWidth="1"/>
    <col min="8199" max="8200" width="10.42578125" style="458" customWidth="1"/>
    <col min="8201" max="8201" width="12.5703125" style="458" customWidth="1"/>
    <col min="8202" max="8202" width="10.85546875" style="458" customWidth="1"/>
    <col min="8203" max="8203" width="13.5703125" style="458" customWidth="1"/>
    <col min="8204" max="8204" width="10.42578125" style="458" customWidth="1"/>
    <col min="8205" max="8205" width="10.5703125" style="458" customWidth="1"/>
    <col min="8206" max="8206" width="11" style="458" customWidth="1"/>
    <col min="8207" max="8208" width="12" style="458" customWidth="1"/>
    <col min="8209" max="8209" width="11.42578125" style="458" customWidth="1"/>
    <col min="8210" max="8210" width="6.85546875" style="458" customWidth="1"/>
    <col min="8211" max="8213" width="6" style="458" customWidth="1"/>
    <col min="8214" max="8216" width="0" style="458" hidden="1" customWidth="1"/>
    <col min="8217" max="8217" width="15.140625" style="458" customWidth="1"/>
    <col min="8218" max="8448" width="9" style="458"/>
    <col min="8449" max="8449" width="5" style="458" customWidth="1"/>
    <col min="8450" max="8450" width="30.140625" style="458" customWidth="1"/>
    <col min="8451" max="8451" width="13.140625" style="458" customWidth="1"/>
    <col min="8452" max="8452" width="10.85546875" style="458" customWidth="1"/>
    <col min="8453" max="8453" width="12.85546875" style="458" customWidth="1"/>
    <col min="8454" max="8454" width="11" style="458" customWidth="1"/>
    <col min="8455" max="8456" width="10.42578125" style="458" customWidth="1"/>
    <col min="8457" max="8457" width="12.5703125" style="458" customWidth="1"/>
    <col min="8458" max="8458" width="10.85546875" style="458" customWidth="1"/>
    <col min="8459" max="8459" width="13.5703125" style="458" customWidth="1"/>
    <col min="8460" max="8460" width="10.42578125" style="458" customWidth="1"/>
    <col min="8461" max="8461" width="10.5703125" style="458" customWidth="1"/>
    <col min="8462" max="8462" width="11" style="458" customWidth="1"/>
    <col min="8463" max="8464" width="12" style="458" customWidth="1"/>
    <col min="8465" max="8465" width="11.42578125" style="458" customWidth="1"/>
    <col min="8466" max="8466" width="6.85546875" style="458" customWidth="1"/>
    <col min="8467" max="8469" width="6" style="458" customWidth="1"/>
    <col min="8470" max="8472" width="0" style="458" hidden="1" customWidth="1"/>
    <col min="8473" max="8473" width="15.140625" style="458" customWidth="1"/>
    <col min="8474" max="8704" width="9" style="458"/>
    <col min="8705" max="8705" width="5" style="458" customWidth="1"/>
    <col min="8706" max="8706" width="30.140625" style="458" customWidth="1"/>
    <col min="8707" max="8707" width="13.140625" style="458" customWidth="1"/>
    <col min="8708" max="8708" width="10.85546875" style="458" customWidth="1"/>
    <col min="8709" max="8709" width="12.85546875" style="458" customWidth="1"/>
    <col min="8710" max="8710" width="11" style="458" customWidth="1"/>
    <col min="8711" max="8712" width="10.42578125" style="458" customWidth="1"/>
    <col min="8713" max="8713" width="12.5703125" style="458" customWidth="1"/>
    <col min="8714" max="8714" width="10.85546875" style="458" customWidth="1"/>
    <col min="8715" max="8715" width="13.5703125" style="458" customWidth="1"/>
    <col min="8716" max="8716" width="10.42578125" style="458" customWidth="1"/>
    <col min="8717" max="8717" width="10.5703125" style="458" customWidth="1"/>
    <col min="8718" max="8718" width="11" style="458" customWidth="1"/>
    <col min="8719" max="8720" width="12" style="458" customWidth="1"/>
    <col min="8721" max="8721" width="11.42578125" style="458" customWidth="1"/>
    <col min="8722" max="8722" width="6.85546875" style="458" customWidth="1"/>
    <col min="8723" max="8725" width="6" style="458" customWidth="1"/>
    <col min="8726" max="8728" width="0" style="458" hidden="1" customWidth="1"/>
    <col min="8729" max="8729" width="15.140625" style="458" customWidth="1"/>
    <col min="8730" max="8960" width="9" style="458"/>
    <col min="8961" max="8961" width="5" style="458" customWidth="1"/>
    <col min="8962" max="8962" width="30.140625" style="458" customWidth="1"/>
    <col min="8963" max="8963" width="13.140625" style="458" customWidth="1"/>
    <col min="8964" max="8964" width="10.85546875" style="458" customWidth="1"/>
    <col min="8965" max="8965" width="12.85546875" style="458" customWidth="1"/>
    <col min="8966" max="8966" width="11" style="458" customWidth="1"/>
    <col min="8967" max="8968" width="10.42578125" style="458" customWidth="1"/>
    <col min="8969" max="8969" width="12.5703125" style="458" customWidth="1"/>
    <col min="8970" max="8970" width="10.85546875" style="458" customWidth="1"/>
    <col min="8971" max="8971" width="13.5703125" style="458" customWidth="1"/>
    <col min="8972" max="8972" width="10.42578125" style="458" customWidth="1"/>
    <col min="8973" max="8973" width="10.5703125" style="458" customWidth="1"/>
    <col min="8974" max="8974" width="11" style="458" customWidth="1"/>
    <col min="8975" max="8976" width="12" style="458" customWidth="1"/>
    <col min="8977" max="8977" width="11.42578125" style="458" customWidth="1"/>
    <col min="8978" max="8978" width="6.85546875" style="458" customWidth="1"/>
    <col min="8979" max="8981" width="6" style="458" customWidth="1"/>
    <col min="8982" max="8984" width="0" style="458" hidden="1" customWidth="1"/>
    <col min="8985" max="8985" width="15.140625" style="458" customWidth="1"/>
    <col min="8986" max="9216" width="9" style="458"/>
    <col min="9217" max="9217" width="5" style="458" customWidth="1"/>
    <col min="9218" max="9218" width="30.140625" style="458" customWidth="1"/>
    <col min="9219" max="9219" width="13.140625" style="458" customWidth="1"/>
    <col min="9220" max="9220" width="10.85546875" style="458" customWidth="1"/>
    <col min="9221" max="9221" width="12.85546875" style="458" customWidth="1"/>
    <col min="9222" max="9222" width="11" style="458" customWidth="1"/>
    <col min="9223" max="9224" width="10.42578125" style="458" customWidth="1"/>
    <col min="9225" max="9225" width="12.5703125" style="458" customWidth="1"/>
    <col min="9226" max="9226" width="10.85546875" style="458" customWidth="1"/>
    <col min="9227" max="9227" width="13.5703125" style="458" customWidth="1"/>
    <col min="9228" max="9228" width="10.42578125" style="458" customWidth="1"/>
    <col min="9229" max="9229" width="10.5703125" style="458" customWidth="1"/>
    <col min="9230" max="9230" width="11" style="458" customWidth="1"/>
    <col min="9231" max="9232" width="12" style="458" customWidth="1"/>
    <col min="9233" max="9233" width="11.42578125" style="458" customWidth="1"/>
    <col min="9234" max="9234" width="6.85546875" style="458" customWidth="1"/>
    <col min="9235" max="9237" width="6" style="458" customWidth="1"/>
    <col min="9238" max="9240" width="0" style="458" hidden="1" customWidth="1"/>
    <col min="9241" max="9241" width="15.140625" style="458" customWidth="1"/>
    <col min="9242" max="9472" width="9" style="458"/>
    <col min="9473" max="9473" width="5" style="458" customWidth="1"/>
    <col min="9474" max="9474" width="30.140625" style="458" customWidth="1"/>
    <col min="9475" max="9475" width="13.140625" style="458" customWidth="1"/>
    <col min="9476" max="9476" width="10.85546875" style="458" customWidth="1"/>
    <col min="9477" max="9477" width="12.85546875" style="458" customWidth="1"/>
    <col min="9478" max="9478" width="11" style="458" customWidth="1"/>
    <col min="9479" max="9480" width="10.42578125" style="458" customWidth="1"/>
    <col min="9481" max="9481" width="12.5703125" style="458" customWidth="1"/>
    <col min="9482" max="9482" width="10.85546875" style="458" customWidth="1"/>
    <col min="9483" max="9483" width="13.5703125" style="458" customWidth="1"/>
    <col min="9484" max="9484" width="10.42578125" style="458" customWidth="1"/>
    <col min="9485" max="9485" width="10.5703125" style="458" customWidth="1"/>
    <col min="9486" max="9486" width="11" style="458" customWidth="1"/>
    <col min="9487" max="9488" width="12" style="458" customWidth="1"/>
    <col min="9489" max="9489" width="11.42578125" style="458" customWidth="1"/>
    <col min="9490" max="9490" width="6.85546875" style="458" customWidth="1"/>
    <col min="9491" max="9493" width="6" style="458" customWidth="1"/>
    <col min="9494" max="9496" width="0" style="458" hidden="1" customWidth="1"/>
    <col min="9497" max="9497" width="15.140625" style="458" customWidth="1"/>
    <col min="9498" max="9728" width="9" style="458"/>
    <col min="9729" max="9729" width="5" style="458" customWidth="1"/>
    <col min="9730" max="9730" width="30.140625" style="458" customWidth="1"/>
    <col min="9731" max="9731" width="13.140625" style="458" customWidth="1"/>
    <col min="9732" max="9732" width="10.85546875" style="458" customWidth="1"/>
    <col min="9733" max="9733" width="12.85546875" style="458" customWidth="1"/>
    <col min="9734" max="9734" width="11" style="458" customWidth="1"/>
    <col min="9735" max="9736" width="10.42578125" style="458" customWidth="1"/>
    <col min="9737" max="9737" width="12.5703125" style="458" customWidth="1"/>
    <col min="9738" max="9738" width="10.85546875" style="458" customWidth="1"/>
    <col min="9739" max="9739" width="13.5703125" style="458" customWidth="1"/>
    <col min="9740" max="9740" width="10.42578125" style="458" customWidth="1"/>
    <col min="9741" max="9741" width="10.5703125" style="458" customWidth="1"/>
    <col min="9742" max="9742" width="11" style="458" customWidth="1"/>
    <col min="9743" max="9744" width="12" style="458" customWidth="1"/>
    <col min="9745" max="9745" width="11.42578125" style="458" customWidth="1"/>
    <col min="9746" max="9746" width="6.85546875" style="458" customWidth="1"/>
    <col min="9747" max="9749" width="6" style="458" customWidth="1"/>
    <col min="9750" max="9752" width="0" style="458" hidden="1" customWidth="1"/>
    <col min="9753" max="9753" width="15.140625" style="458" customWidth="1"/>
    <col min="9754" max="9984" width="9" style="458"/>
    <col min="9985" max="9985" width="5" style="458" customWidth="1"/>
    <col min="9986" max="9986" width="30.140625" style="458" customWidth="1"/>
    <col min="9987" max="9987" width="13.140625" style="458" customWidth="1"/>
    <col min="9988" max="9988" width="10.85546875" style="458" customWidth="1"/>
    <col min="9989" max="9989" width="12.85546875" style="458" customWidth="1"/>
    <col min="9990" max="9990" width="11" style="458" customWidth="1"/>
    <col min="9991" max="9992" width="10.42578125" style="458" customWidth="1"/>
    <col min="9993" max="9993" width="12.5703125" style="458" customWidth="1"/>
    <col min="9994" max="9994" width="10.85546875" style="458" customWidth="1"/>
    <col min="9995" max="9995" width="13.5703125" style="458" customWidth="1"/>
    <col min="9996" max="9996" width="10.42578125" style="458" customWidth="1"/>
    <col min="9997" max="9997" width="10.5703125" style="458" customWidth="1"/>
    <col min="9998" max="9998" width="11" style="458" customWidth="1"/>
    <col min="9999" max="10000" width="12" style="458" customWidth="1"/>
    <col min="10001" max="10001" width="11.42578125" style="458" customWidth="1"/>
    <col min="10002" max="10002" width="6.85546875" style="458" customWidth="1"/>
    <col min="10003" max="10005" width="6" style="458" customWidth="1"/>
    <col min="10006" max="10008" width="0" style="458" hidden="1" customWidth="1"/>
    <col min="10009" max="10009" width="15.140625" style="458" customWidth="1"/>
    <col min="10010" max="10240" width="9" style="458"/>
    <col min="10241" max="10241" width="5" style="458" customWidth="1"/>
    <col min="10242" max="10242" width="30.140625" style="458" customWidth="1"/>
    <col min="10243" max="10243" width="13.140625" style="458" customWidth="1"/>
    <col min="10244" max="10244" width="10.85546875" style="458" customWidth="1"/>
    <col min="10245" max="10245" width="12.85546875" style="458" customWidth="1"/>
    <col min="10246" max="10246" width="11" style="458" customWidth="1"/>
    <col min="10247" max="10248" width="10.42578125" style="458" customWidth="1"/>
    <col min="10249" max="10249" width="12.5703125" style="458" customWidth="1"/>
    <col min="10250" max="10250" width="10.85546875" style="458" customWidth="1"/>
    <col min="10251" max="10251" width="13.5703125" style="458" customWidth="1"/>
    <col min="10252" max="10252" width="10.42578125" style="458" customWidth="1"/>
    <col min="10253" max="10253" width="10.5703125" style="458" customWidth="1"/>
    <col min="10254" max="10254" width="11" style="458" customWidth="1"/>
    <col min="10255" max="10256" width="12" style="458" customWidth="1"/>
    <col min="10257" max="10257" width="11.42578125" style="458" customWidth="1"/>
    <col min="10258" max="10258" width="6.85546875" style="458" customWidth="1"/>
    <col min="10259" max="10261" width="6" style="458" customWidth="1"/>
    <col min="10262" max="10264" width="0" style="458" hidden="1" customWidth="1"/>
    <col min="10265" max="10265" width="15.140625" style="458" customWidth="1"/>
    <col min="10266" max="10496" width="9" style="458"/>
    <col min="10497" max="10497" width="5" style="458" customWidth="1"/>
    <col min="10498" max="10498" width="30.140625" style="458" customWidth="1"/>
    <col min="10499" max="10499" width="13.140625" style="458" customWidth="1"/>
    <col min="10500" max="10500" width="10.85546875" style="458" customWidth="1"/>
    <col min="10501" max="10501" width="12.85546875" style="458" customWidth="1"/>
    <col min="10502" max="10502" width="11" style="458" customWidth="1"/>
    <col min="10503" max="10504" width="10.42578125" style="458" customWidth="1"/>
    <col min="10505" max="10505" width="12.5703125" style="458" customWidth="1"/>
    <col min="10506" max="10506" width="10.85546875" style="458" customWidth="1"/>
    <col min="10507" max="10507" width="13.5703125" style="458" customWidth="1"/>
    <col min="10508" max="10508" width="10.42578125" style="458" customWidth="1"/>
    <col min="10509" max="10509" width="10.5703125" style="458" customWidth="1"/>
    <col min="10510" max="10510" width="11" style="458" customWidth="1"/>
    <col min="10511" max="10512" width="12" style="458" customWidth="1"/>
    <col min="10513" max="10513" width="11.42578125" style="458" customWidth="1"/>
    <col min="10514" max="10514" width="6.85546875" style="458" customWidth="1"/>
    <col min="10515" max="10517" width="6" style="458" customWidth="1"/>
    <col min="10518" max="10520" width="0" style="458" hidden="1" customWidth="1"/>
    <col min="10521" max="10521" width="15.140625" style="458" customWidth="1"/>
    <col min="10522" max="10752" width="9" style="458"/>
    <col min="10753" max="10753" width="5" style="458" customWidth="1"/>
    <col min="10754" max="10754" width="30.140625" style="458" customWidth="1"/>
    <col min="10755" max="10755" width="13.140625" style="458" customWidth="1"/>
    <col min="10756" max="10756" width="10.85546875" style="458" customWidth="1"/>
    <col min="10757" max="10757" width="12.85546875" style="458" customWidth="1"/>
    <col min="10758" max="10758" width="11" style="458" customWidth="1"/>
    <col min="10759" max="10760" width="10.42578125" style="458" customWidth="1"/>
    <col min="10761" max="10761" width="12.5703125" style="458" customWidth="1"/>
    <col min="10762" max="10762" width="10.85546875" style="458" customWidth="1"/>
    <col min="10763" max="10763" width="13.5703125" style="458" customWidth="1"/>
    <col min="10764" max="10764" width="10.42578125" style="458" customWidth="1"/>
    <col min="10765" max="10765" width="10.5703125" style="458" customWidth="1"/>
    <col min="10766" max="10766" width="11" style="458" customWidth="1"/>
    <col min="10767" max="10768" width="12" style="458" customWidth="1"/>
    <col min="10769" max="10769" width="11.42578125" style="458" customWidth="1"/>
    <col min="10770" max="10770" width="6.85546875" style="458" customWidth="1"/>
    <col min="10771" max="10773" width="6" style="458" customWidth="1"/>
    <col min="10774" max="10776" width="0" style="458" hidden="1" customWidth="1"/>
    <col min="10777" max="10777" width="15.140625" style="458" customWidth="1"/>
    <col min="10778" max="11008" width="9" style="458"/>
    <col min="11009" max="11009" width="5" style="458" customWidth="1"/>
    <col min="11010" max="11010" width="30.140625" style="458" customWidth="1"/>
    <col min="11011" max="11011" width="13.140625" style="458" customWidth="1"/>
    <col min="11012" max="11012" width="10.85546875" style="458" customWidth="1"/>
    <col min="11013" max="11013" width="12.85546875" style="458" customWidth="1"/>
    <col min="11014" max="11014" width="11" style="458" customWidth="1"/>
    <col min="11015" max="11016" width="10.42578125" style="458" customWidth="1"/>
    <col min="11017" max="11017" width="12.5703125" style="458" customWidth="1"/>
    <col min="11018" max="11018" width="10.85546875" style="458" customWidth="1"/>
    <col min="11019" max="11019" width="13.5703125" style="458" customWidth="1"/>
    <col min="11020" max="11020" width="10.42578125" style="458" customWidth="1"/>
    <col min="11021" max="11021" width="10.5703125" style="458" customWidth="1"/>
    <col min="11022" max="11022" width="11" style="458" customWidth="1"/>
    <col min="11023" max="11024" width="12" style="458" customWidth="1"/>
    <col min="11025" max="11025" width="11.42578125" style="458" customWidth="1"/>
    <col min="11026" max="11026" width="6.85546875" style="458" customWidth="1"/>
    <col min="11027" max="11029" width="6" style="458" customWidth="1"/>
    <col min="11030" max="11032" width="0" style="458" hidden="1" customWidth="1"/>
    <col min="11033" max="11033" width="15.140625" style="458" customWidth="1"/>
    <col min="11034" max="11264" width="9" style="458"/>
    <col min="11265" max="11265" width="5" style="458" customWidth="1"/>
    <col min="11266" max="11266" width="30.140625" style="458" customWidth="1"/>
    <col min="11267" max="11267" width="13.140625" style="458" customWidth="1"/>
    <col min="11268" max="11268" width="10.85546875" style="458" customWidth="1"/>
    <col min="11269" max="11269" width="12.85546875" style="458" customWidth="1"/>
    <col min="11270" max="11270" width="11" style="458" customWidth="1"/>
    <col min="11271" max="11272" width="10.42578125" style="458" customWidth="1"/>
    <col min="11273" max="11273" width="12.5703125" style="458" customWidth="1"/>
    <col min="11274" max="11274" width="10.85546875" style="458" customWidth="1"/>
    <col min="11275" max="11275" width="13.5703125" style="458" customWidth="1"/>
    <col min="11276" max="11276" width="10.42578125" style="458" customWidth="1"/>
    <col min="11277" max="11277" width="10.5703125" style="458" customWidth="1"/>
    <col min="11278" max="11278" width="11" style="458" customWidth="1"/>
    <col min="11279" max="11280" width="12" style="458" customWidth="1"/>
    <col min="11281" max="11281" width="11.42578125" style="458" customWidth="1"/>
    <col min="11282" max="11282" width="6.85546875" style="458" customWidth="1"/>
    <col min="11283" max="11285" width="6" style="458" customWidth="1"/>
    <col min="11286" max="11288" width="0" style="458" hidden="1" customWidth="1"/>
    <col min="11289" max="11289" width="15.140625" style="458" customWidth="1"/>
    <col min="11290" max="11520" width="9" style="458"/>
    <col min="11521" max="11521" width="5" style="458" customWidth="1"/>
    <col min="11522" max="11522" width="30.140625" style="458" customWidth="1"/>
    <col min="11523" max="11523" width="13.140625" style="458" customWidth="1"/>
    <col min="11524" max="11524" width="10.85546875" style="458" customWidth="1"/>
    <col min="11525" max="11525" width="12.85546875" style="458" customWidth="1"/>
    <col min="11526" max="11526" width="11" style="458" customWidth="1"/>
    <col min="11527" max="11528" width="10.42578125" style="458" customWidth="1"/>
    <col min="11529" max="11529" width="12.5703125" style="458" customWidth="1"/>
    <col min="11530" max="11530" width="10.85546875" style="458" customWidth="1"/>
    <col min="11531" max="11531" width="13.5703125" style="458" customWidth="1"/>
    <col min="11532" max="11532" width="10.42578125" style="458" customWidth="1"/>
    <col min="11533" max="11533" width="10.5703125" style="458" customWidth="1"/>
    <col min="11534" max="11534" width="11" style="458" customWidth="1"/>
    <col min="11535" max="11536" width="12" style="458" customWidth="1"/>
    <col min="11537" max="11537" width="11.42578125" style="458" customWidth="1"/>
    <col min="11538" max="11538" width="6.85546875" style="458" customWidth="1"/>
    <col min="11539" max="11541" width="6" style="458" customWidth="1"/>
    <col min="11542" max="11544" width="0" style="458" hidden="1" customWidth="1"/>
    <col min="11545" max="11545" width="15.140625" style="458" customWidth="1"/>
    <col min="11546" max="11776" width="9" style="458"/>
    <col min="11777" max="11777" width="5" style="458" customWidth="1"/>
    <col min="11778" max="11778" width="30.140625" style="458" customWidth="1"/>
    <col min="11779" max="11779" width="13.140625" style="458" customWidth="1"/>
    <col min="11780" max="11780" width="10.85546875" style="458" customWidth="1"/>
    <col min="11781" max="11781" width="12.85546875" style="458" customWidth="1"/>
    <col min="11782" max="11782" width="11" style="458" customWidth="1"/>
    <col min="11783" max="11784" width="10.42578125" style="458" customWidth="1"/>
    <col min="11785" max="11785" width="12.5703125" style="458" customWidth="1"/>
    <col min="11786" max="11786" width="10.85546875" style="458" customWidth="1"/>
    <col min="11787" max="11787" width="13.5703125" style="458" customWidth="1"/>
    <col min="11788" max="11788" width="10.42578125" style="458" customWidth="1"/>
    <col min="11789" max="11789" width="10.5703125" style="458" customWidth="1"/>
    <col min="11790" max="11790" width="11" style="458" customWidth="1"/>
    <col min="11791" max="11792" width="12" style="458" customWidth="1"/>
    <col min="11793" max="11793" width="11.42578125" style="458" customWidth="1"/>
    <col min="11794" max="11794" width="6.85546875" style="458" customWidth="1"/>
    <col min="11795" max="11797" width="6" style="458" customWidth="1"/>
    <col min="11798" max="11800" width="0" style="458" hidden="1" customWidth="1"/>
    <col min="11801" max="11801" width="15.140625" style="458" customWidth="1"/>
    <col min="11802" max="12032" width="9" style="458"/>
    <col min="12033" max="12033" width="5" style="458" customWidth="1"/>
    <col min="12034" max="12034" width="30.140625" style="458" customWidth="1"/>
    <col min="12035" max="12035" width="13.140625" style="458" customWidth="1"/>
    <col min="12036" max="12036" width="10.85546875" style="458" customWidth="1"/>
    <col min="12037" max="12037" width="12.85546875" style="458" customWidth="1"/>
    <col min="12038" max="12038" width="11" style="458" customWidth="1"/>
    <col min="12039" max="12040" width="10.42578125" style="458" customWidth="1"/>
    <col min="12041" max="12041" width="12.5703125" style="458" customWidth="1"/>
    <col min="12042" max="12042" width="10.85546875" style="458" customWidth="1"/>
    <col min="12043" max="12043" width="13.5703125" style="458" customWidth="1"/>
    <col min="12044" max="12044" width="10.42578125" style="458" customWidth="1"/>
    <col min="12045" max="12045" width="10.5703125" style="458" customWidth="1"/>
    <col min="12046" max="12046" width="11" style="458" customWidth="1"/>
    <col min="12047" max="12048" width="12" style="458" customWidth="1"/>
    <col min="12049" max="12049" width="11.42578125" style="458" customWidth="1"/>
    <col min="12050" max="12050" width="6.85546875" style="458" customWidth="1"/>
    <col min="12051" max="12053" width="6" style="458" customWidth="1"/>
    <col min="12054" max="12056" width="0" style="458" hidden="1" customWidth="1"/>
    <col min="12057" max="12057" width="15.140625" style="458" customWidth="1"/>
    <col min="12058" max="12288" width="9" style="458"/>
    <col min="12289" max="12289" width="5" style="458" customWidth="1"/>
    <col min="12290" max="12290" width="30.140625" style="458" customWidth="1"/>
    <col min="12291" max="12291" width="13.140625" style="458" customWidth="1"/>
    <col min="12292" max="12292" width="10.85546875" style="458" customWidth="1"/>
    <col min="12293" max="12293" width="12.85546875" style="458" customWidth="1"/>
    <col min="12294" max="12294" width="11" style="458" customWidth="1"/>
    <col min="12295" max="12296" width="10.42578125" style="458" customWidth="1"/>
    <col min="12297" max="12297" width="12.5703125" style="458" customWidth="1"/>
    <col min="12298" max="12298" width="10.85546875" style="458" customWidth="1"/>
    <col min="12299" max="12299" width="13.5703125" style="458" customWidth="1"/>
    <col min="12300" max="12300" width="10.42578125" style="458" customWidth="1"/>
    <col min="12301" max="12301" width="10.5703125" style="458" customWidth="1"/>
    <col min="12302" max="12302" width="11" style="458" customWidth="1"/>
    <col min="12303" max="12304" width="12" style="458" customWidth="1"/>
    <col min="12305" max="12305" width="11.42578125" style="458" customWidth="1"/>
    <col min="12306" max="12306" width="6.85546875" style="458" customWidth="1"/>
    <col min="12307" max="12309" width="6" style="458" customWidth="1"/>
    <col min="12310" max="12312" width="0" style="458" hidden="1" customWidth="1"/>
    <col min="12313" max="12313" width="15.140625" style="458" customWidth="1"/>
    <col min="12314" max="12544" width="9" style="458"/>
    <col min="12545" max="12545" width="5" style="458" customWidth="1"/>
    <col min="12546" max="12546" width="30.140625" style="458" customWidth="1"/>
    <col min="12547" max="12547" width="13.140625" style="458" customWidth="1"/>
    <col min="12548" max="12548" width="10.85546875" style="458" customWidth="1"/>
    <col min="12549" max="12549" width="12.85546875" style="458" customWidth="1"/>
    <col min="12550" max="12550" width="11" style="458" customWidth="1"/>
    <col min="12551" max="12552" width="10.42578125" style="458" customWidth="1"/>
    <col min="12553" max="12553" width="12.5703125" style="458" customWidth="1"/>
    <col min="12554" max="12554" width="10.85546875" style="458" customWidth="1"/>
    <col min="12555" max="12555" width="13.5703125" style="458" customWidth="1"/>
    <col min="12556" max="12556" width="10.42578125" style="458" customWidth="1"/>
    <col min="12557" max="12557" width="10.5703125" style="458" customWidth="1"/>
    <col min="12558" max="12558" width="11" style="458" customWidth="1"/>
    <col min="12559" max="12560" width="12" style="458" customWidth="1"/>
    <col min="12561" max="12561" width="11.42578125" style="458" customWidth="1"/>
    <col min="12562" max="12562" width="6.85546875" style="458" customWidth="1"/>
    <col min="12563" max="12565" width="6" style="458" customWidth="1"/>
    <col min="12566" max="12568" width="0" style="458" hidden="1" customWidth="1"/>
    <col min="12569" max="12569" width="15.140625" style="458" customWidth="1"/>
    <col min="12570" max="12800" width="9" style="458"/>
    <col min="12801" max="12801" width="5" style="458" customWidth="1"/>
    <col min="12802" max="12802" width="30.140625" style="458" customWidth="1"/>
    <col min="12803" max="12803" width="13.140625" style="458" customWidth="1"/>
    <col min="12804" max="12804" width="10.85546875" style="458" customWidth="1"/>
    <col min="12805" max="12805" width="12.85546875" style="458" customWidth="1"/>
    <col min="12806" max="12806" width="11" style="458" customWidth="1"/>
    <col min="12807" max="12808" width="10.42578125" style="458" customWidth="1"/>
    <col min="12809" max="12809" width="12.5703125" style="458" customWidth="1"/>
    <col min="12810" max="12810" width="10.85546875" style="458" customWidth="1"/>
    <col min="12811" max="12811" width="13.5703125" style="458" customWidth="1"/>
    <col min="12812" max="12812" width="10.42578125" style="458" customWidth="1"/>
    <col min="12813" max="12813" width="10.5703125" style="458" customWidth="1"/>
    <col min="12814" max="12814" width="11" style="458" customWidth="1"/>
    <col min="12815" max="12816" width="12" style="458" customWidth="1"/>
    <col min="12817" max="12817" width="11.42578125" style="458" customWidth="1"/>
    <col min="12818" max="12818" width="6.85546875" style="458" customWidth="1"/>
    <col min="12819" max="12821" width="6" style="458" customWidth="1"/>
    <col min="12822" max="12824" width="0" style="458" hidden="1" customWidth="1"/>
    <col min="12825" max="12825" width="15.140625" style="458" customWidth="1"/>
    <col min="12826" max="13056" width="9" style="458"/>
    <col min="13057" max="13057" width="5" style="458" customWidth="1"/>
    <col min="13058" max="13058" width="30.140625" style="458" customWidth="1"/>
    <col min="13059" max="13059" width="13.140625" style="458" customWidth="1"/>
    <col min="13060" max="13060" width="10.85546875" style="458" customWidth="1"/>
    <col min="13061" max="13061" width="12.85546875" style="458" customWidth="1"/>
    <col min="13062" max="13062" width="11" style="458" customWidth="1"/>
    <col min="13063" max="13064" width="10.42578125" style="458" customWidth="1"/>
    <col min="13065" max="13065" width="12.5703125" style="458" customWidth="1"/>
    <col min="13066" max="13066" width="10.85546875" style="458" customWidth="1"/>
    <col min="13067" max="13067" width="13.5703125" style="458" customWidth="1"/>
    <col min="13068" max="13068" width="10.42578125" style="458" customWidth="1"/>
    <col min="13069" max="13069" width="10.5703125" style="458" customWidth="1"/>
    <col min="13070" max="13070" width="11" style="458" customWidth="1"/>
    <col min="13071" max="13072" width="12" style="458" customWidth="1"/>
    <col min="13073" max="13073" width="11.42578125" style="458" customWidth="1"/>
    <col min="13074" max="13074" width="6.85546875" style="458" customWidth="1"/>
    <col min="13075" max="13077" width="6" style="458" customWidth="1"/>
    <col min="13078" max="13080" width="0" style="458" hidden="1" customWidth="1"/>
    <col min="13081" max="13081" width="15.140625" style="458" customWidth="1"/>
    <col min="13082" max="13312" width="9" style="458"/>
    <col min="13313" max="13313" width="5" style="458" customWidth="1"/>
    <col min="13314" max="13314" width="30.140625" style="458" customWidth="1"/>
    <col min="13315" max="13315" width="13.140625" style="458" customWidth="1"/>
    <col min="13316" max="13316" width="10.85546875" style="458" customWidth="1"/>
    <col min="13317" max="13317" width="12.85546875" style="458" customWidth="1"/>
    <col min="13318" max="13318" width="11" style="458" customWidth="1"/>
    <col min="13319" max="13320" width="10.42578125" style="458" customWidth="1"/>
    <col min="13321" max="13321" width="12.5703125" style="458" customWidth="1"/>
    <col min="13322" max="13322" width="10.85546875" style="458" customWidth="1"/>
    <col min="13323" max="13323" width="13.5703125" style="458" customWidth="1"/>
    <col min="13324" max="13324" width="10.42578125" style="458" customWidth="1"/>
    <col min="13325" max="13325" width="10.5703125" style="458" customWidth="1"/>
    <col min="13326" max="13326" width="11" style="458" customWidth="1"/>
    <col min="13327" max="13328" width="12" style="458" customWidth="1"/>
    <col min="13329" max="13329" width="11.42578125" style="458" customWidth="1"/>
    <col min="13330" max="13330" width="6.85546875" style="458" customWidth="1"/>
    <col min="13331" max="13333" width="6" style="458" customWidth="1"/>
    <col min="13334" max="13336" width="0" style="458" hidden="1" customWidth="1"/>
    <col min="13337" max="13337" width="15.140625" style="458" customWidth="1"/>
    <col min="13338" max="13568" width="9" style="458"/>
    <col min="13569" max="13569" width="5" style="458" customWidth="1"/>
    <col min="13570" max="13570" width="30.140625" style="458" customWidth="1"/>
    <col min="13571" max="13571" width="13.140625" style="458" customWidth="1"/>
    <col min="13572" max="13572" width="10.85546875" style="458" customWidth="1"/>
    <col min="13573" max="13573" width="12.85546875" style="458" customWidth="1"/>
    <col min="13574" max="13574" width="11" style="458" customWidth="1"/>
    <col min="13575" max="13576" width="10.42578125" style="458" customWidth="1"/>
    <col min="13577" max="13577" width="12.5703125" style="458" customWidth="1"/>
    <col min="13578" max="13578" width="10.85546875" style="458" customWidth="1"/>
    <col min="13579" max="13579" width="13.5703125" style="458" customWidth="1"/>
    <col min="13580" max="13580" width="10.42578125" style="458" customWidth="1"/>
    <col min="13581" max="13581" width="10.5703125" style="458" customWidth="1"/>
    <col min="13582" max="13582" width="11" style="458" customWidth="1"/>
    <col min="13583" max="13584" width="12" style="458" customWidth="1"/>
    <col min="13585" max="13585" width="11.42578125" style="458" customWidth="1"/>
    <col min="13586" max="13586" width="6.85546875" style="458" customWidth="1"/>
    <col min="13587" max="13589" width="6" style="458" customWidth="1"/>
    <col min="13590" max="13592" width="0" style="458" hidden="1" customWidth="1"/>
    <col min="13593" max="13593" width="15.140625" style="458" customWidth="1"/>
    <col min="13594" max="13824" width="9" style="458"/>
    <col min="13825" max="13825" width="5" style="458" customWidth="1"/>
    <col min="13826" max="13826" width="30.140625" style="458" customWidth="1"/>
    <col min="13827" max="13827" width="13.140625" style="458" customWidth="1"/>
    <col min="13828" max="13828" width="10.85546875" style="458" customWidth="1"/>
    <col min="13829" max="13829" width="12.85546875" style="458" customWidth="1"/>
    <col min="13830" max="13830" width="11" style="458" customWidth="1"/>
    <col min="13831" max="13832" width="10.42578125" style="458" customWidth="1"/>
    <col min="13833" max="13833" width="12.5703125" style="458" customWidth="1"/>
    <col min="13834" max="13834" width="10.85546875" style="458" customWidth="1"/>
    <col min="13835" max="13835" width="13.5703125" style="458" customWidth="1"/>
    <col min="13836" max="13836" width="10.42578125" style="458" customWidth="1"/>
    <col min="13837" max="13837" width="10.5703125" style="458" customWidth="1"/>
    <col min="13838" max="13838" width="11" style="458" customWidth="1"/>
    <col min="13839" max="13840" width="12" style="458" customWidth="1"/>
    <col min="13841" max="13841" width="11.42578125" style="458" customWidth="1"/>
    <col min="13842" max="13842" width="6.85546875" style="458" customWidth="1"/>
    <col min="13843" max="13845" width="6" style="458" customWidth="1"/>
    <col min="13846" max="13848" width="0" style="458" hidden="1" customWidth="1"/>
    <col min="13849" max="13849" width="15.140625" style="458" customWidth="1"/>
    <col min="13850" max="14080" width="9" style="458"/>
    <col min="14081" max="14081" width="5" style="458" customWidth="1"/>
    <col min="14082" max="14082" width="30.140625" style="458" customWidth="1"/>
    <col min="14083" max="14083" width="13.140625" style="458" customWidth="1"/>
    <col min="14084" max="14084" width="10.85546875" style="458" customWidth="1"/>
    <col min="14085" max="14085" width="12.85546875" style="458" customWidth="1"/>
    <col min="14086" max="14086" width="11" style="458" customWidth="1"/>
    <col min="14087" max="14088" width="10.42578125" style="458" customWidth="1"/>
    <col min="14089" max="14089" width="12.5703125" style="458" customWidth="1"/>
    <col min="14090" max="14090" width="10.85546875" style="458" customWidth="1"/>
    <col min="14091" max="14091" width="13.5703125" style="458" customWidth="1"/>
    <col min="14092" max="14092" width="10.42578125" style="458" customWidth="1"/>
    <col min="14093" max="14093" width="10.5703125" style="458" customWidth="1"/>
    <col min="14094" max="14094" width="11" style="458" customWidth="1"/>
    <col min="14095" max="14096" width="12" style="458" customWidth="1"/>
    <col min="14097" max="14097" width="11.42578125" style="458" customWidth="1"/>
    <col min="14098" max="14098" width="6.85546875" style="458" customWidth="1"/>
    <col min="14099" max="14101" width="6" style="458" customWidth="1"/>
    <col min="14102" max="14104" width="0" style="458" hidden="1" customWidth="1"/>
    <col min="14105" max="14105" width="15.140625" style="458" customWidth="1"/>
    <col min="14106" max="14336" width="9" style="458"/>
    <col min="14337" max="14337" width="5" style="458" customWidth="1"/>
    <col min="14338" max="14338" width="30.140625" style="458" customWidth="1"/>
    <col min="14339" max="14339" width="13.140625" style="458" customWidth="1"/>
    <col min="14340" max="14340" width="10.85546875" style="458" customWidth="1"/>
    <col min="14341" max="14341" width="12.85546875" style="458" customWidth="1"/>
    <col min="14342" max="14342" width="11" style="458" customWidth="1"/>
    <col min="14343" max="14344" width="10.42578125" style="458" customWidth="1"/>
    <col min="14345" max="14345" width="12.5703125" style="458" customWidth="1"/>
    <col min="14346" max="14346" width="10.85546875" style="458" customWidth="1"/>
    <col min="14347" max="14347" width="13.5703125" style="458" customWidth="1"/>
    <col min="14348" max="14348" width="10.42578125" style="458" customWidth="1"/>
    <col min="14349" max="14349" width="10.5703125" style="458" customWidth="1"/>
    <col min="14350" max="14350" width="11" style="458" customWidth="1"/>
    <col min="14351" max="14352" width="12" style="458" customWidth="1"/>
    <col min="14353" max="14353" width="11.42578125" style="458" customWidth="1"/>
    <col min="14354" max="14354" width="6.85546875" style="458" customWidth="1"/>
    <col min="14355" max="14357" width="6" style="458" customWidth="1"/>
    <col min="14358" max="14360" width="0" style="458" hidden="1" customWidth="1"/>
    <col min="14361" max="14361" width="15.140625" style="458" customWidth="1"/>
    <col min="14362" max="14592" width="9" style="458"/>
    <col min="14593" max="14593" width="5" style="458" customWidth="1"/>
    <col min="14594" max="14594" width="30.140625" style="458" customWidth="1"/>
    <col min="14595" max="14595" width="13.140625" style="458" customWidth="1"/>
    <col min="14596" max="14596" width="10.85546875" style="458" customWidth="1"/>
    <col min="14597" max="14597" width="12.85546875" style="458" customWidth="1"/>
    <col min="14598" max="14598" width="11" style="458" customWidth="1"/>
    <col min="14599" max="14600" width="10.42578125" style="458" customWidth="1"/>
    <col min="14601" max="14601" width="12.5703125" style="458" customWidth="1"/>
    <col min="14602" max="14602" width="10.85546875" style="458" customWidth="1"/>
    <col min="14603" max="14603" width="13.5703125" style="458" customWidth="1"/>
    <col min="14604" max="14604" width="10.42578125" style="458" customWidth="1"/>
    <col min="14605" max="14605" width="10.5703125" style="458" customWidth="1"/>
    <col min="14606" max="14606" width="11" style="458" customWidth="1"/>
    <col min="14607" max="14608" width="12" style="458" customWidth="1"/>
    <col min="14609" max="14609" width="11.42578125" style="458" customWidth="1"/>
    <col min="14610" max="14610" width="6.85546875" style="458" customWidth="1"/>
    <col min="14611" max="14613" width="6" style="458" customWidth="1"/>
    <col min="14614" max="14616" width="0" style="458" hidden="1" customWidth="1"/>
    <col min="14617" max="14617" width="15.140625" style="458" customWidth="1"/>
    <col min="14618" max="14848" width="9" style="458"/>
    <col min="14849" max="14849" width="5" style="458" customWidth="1"/>
    <col min="14850" max="14850" width="30.140625" style="458" customWidth="1"/>
    <col min="14851" max="14851" width="13.140625" style="458" customWidth="1"/>
    <col min="14852" max="14852" width="10.85546875" style="458" customWidth="1"/>
    <col min="14853" max="14853" width="12.85546875" style="458" customWidth="1"/>
    <col min="14854" max="14854" width="11" style="458" customWidth="1"/>
    <col min="14855" max="14856" width="10.42578125" style="458" customWidth="1"/>
    <col min="14857" max="14857" width="12.5703125" style="458" customWidth="1"/>
    <col min="14858" max="14858" width="10.85546875" style="458" customWidth="1"/>
    <col min="14859" max="14859" width="13.5703125" style="458" customWidth="1"/>
    <col min="14860" max="14860" width="10.42578125" style="458" customWidth="1"/>
    <col min="14861" max="14861" width="10.5703125" style="458" customWidth="1"/>
    <col min="14862" max="14862" width="11" style="458" customWidth="1"/>
    <col min="14863" max="14864" width="12" style="458" customWidth="1"/>
    <col min="14865" max="14865" width="11.42578125" style="458" customWidth="1"/>
    <col min="14866" max="14866" width="6.85546875" style="458" customWidth="1"/>
    <col min="14867" max="14869" width="6" style="458" customWidth="1"/>
    <col min="14870" max="14872" width="0" style="458" hidden="1" customWidth="1"/>
    <col min="14873" max="14873" width="15.140625" style="458" customWidth="1"/>
    <col min="14874" max="15104" width="9" style="458"/>
    <col min="15105" max="15105" width="5" style="458" customWidth="1"/>
    <col min="15106" max="15106" width="30.140625" style="458" customWidth="1"/>
    <col min="15107" max="15107" width="13.140625" style="458" customWidth="1"/>
    <col min="15108" max="15108" width="10.85546875" style="458" customWidth="1"/>
    <col min="15109" max="15109" width="12.85546875" style="458" customWidth="1"/>
    <col min="15110" max="15110" width="11" style="458" customWidth="1"/>
    <col min="15111" max="15112" width="10.42578125" style="458" customWidth="1"/>
    <col min="15113" max="15113" width="12.5703125" style="458" customWidth="1"/>
    <col min="15114" max="15114" width="10.85546875" style="458" customWidth="1"/>
    <col min="15115" max="15115" width="13.5703125" style="458" customWidth="1"/>
    <col min="15116" max="15116" width="10.42578125" style="458" customWidth="1"/>
    <col min="15117" max="15117" width="10.5703125" style="458" customWidth="1"/>
    <col min="15118" max="15118" width="11" style="458" customWidth="1"/>
    <col min="15119" max="15120" width="12" style="458" customWidth="1"/>
    <col min="15121" max="15121" width="11.42578125" style="458" customWidth="1"/>
    <col min="15122" max="15122" width="6.85546875" style="458" customWidth="1"/>
    <col min="15123" max="15125" width="6" style="458" customWidth="1"/>
    <col min="15126" max="15128" width="0" style="458" hidden="1" customWidth="1"/>
    <col min="15129" max="15129" width="15.140625" style="458" customWidth="1"/>
    <col min="15130" max="15360" width="9" style="458"/>
    <col min="15361" max="15361" width="5" style="458" customWidth="1"/>
    <col min="15362" max="15362" width="30.140625" style="458" customWidth="1"/>
    <col min="15363" max="15363" width="13.140625" style="458" customWidth="1"/>
    <col min="15364" max="15364" width="10.85546875" style="458" customWidth="1"/>
    <col min="15365" max="15365" width="12.85546875" style="458" customWidth="1"/>
    <col min="15366" max="15366" width="11" style="458" customWidth="1"/>
    <col min="15367" max="15368" width="10.42578125" style="458" customWidth="1"/>
    <col min="15369" max="15369" width="12.5703125" style="458" customWidth="1"/>
    <col min="15370" max="15370" width="10.85546875" style="458" customWidth="1"/>
    <col min="15371" max="15371" width="13.5703125" style="458" customWidth="1"/>
    <col min="15372" max="15372" width="10.42578125" style="458" customWidth="1"/>
    <col min="15373" max="15373" width="10.5703125" style="458" customWidth="1"/>
    <col min="15374" max="15374" width="11" style="458" customWidth="1"/>
    <col min="15375" max="15376" width="12" style="458" customWidth="1"/>
    <col min="15377" max="15377" width="11.42578125" style="458" customWidth="1"/>
    <col min="15378" max="15378" width="6.85546875" style="458" customWidth="1"/>
    <col min="15379" max="15381" width="6" style="458" customWidth="1"/>
    <col min="15382" max="15384" width="0" style="458" hidden="1" customWidth="1"/>
    <col min="15385" max="15385" width="15.140625" style="458" customWidth="1"/>
    <col min="15386" max="15616" width="9" style="458"/>
    <col min="15617" max="15617" width="5" style="458" customWidth="1"/>
    <col min="15618" max="15618" width="30.140625" style="458" customWidth="1"/>
    <col min="15619" max="15619" width="13.140625" style="458" customWidth="1"/>
    <col min="15620" max="15620" width="10.85546875" style="458" customWidth="1"/>
    <col min="15621" max="15621" width="12.85546875" style="458" customWidth="1"/>
    <col min="15622" max="15622" width="11" style="458" customWidth="1"/>
    <col min="15623" max="15624" width="10.42578125" style="458" customWidth="1"/>
    <col min="15625" max="15625" width="12.5703125" style="458" customWidth="1"/>
    <col min="15626" max="15626" width="10.85546875" style="458" customWidth="1"/>
    <col min="15627" max="15627" width="13.5703125" style="458" customWidth="1"/>
    <col min="15628" max="15628" width="10.42578125" style="458" customWidth="1"/>
    <col min="15629" max="15629" width="10.5703125" style="458" customWidth="1"/>
    <col min="15630" max="15630" width="11" style="458" customWidth="1"/>
    <col min="15631" max="15632" width="12" style="458" customWidth="1"/>
    <col min="15633" max="15633" width="11.42578125" style="458" customWidth="1"/>
    <col min="15634" max="15634" width="6.85546875" style="458" customWidth="1"/>
    <col min="15635" max="15637" width="6" style="458" customWidth="1"/>
    <col min="15638" max="15640" width="0" style="458" hidden="1" customWidth="1"/>
    <col min="15641" max="15641" width="15.140625" style="458" customWidth="1"/>
    <col min="15642" max="15872" width="9" style="458"/>
    <col min="15873" max="15873" width="5" style="458" customWidth="1"/>
    <col min="15874" max="15874" width="30.140625" style="458" customWidth="1"/>
    <col min="15875" max="15875" width="13.140625" style="458" customWidth="1"/>
    <col min="15876" max="15876" width="10.85546875" style="458" customWidth="1"/>
    <col min="15877" max="15877" width="12.85546875" style="458" customWidth="1"/>
    <col min="15878" max="15878" width="11" style="458" customWidth="1"/>
    <col min="15879" max="15880" width="10.42578125" style="458" customWidth="1"/>
    <col min="15881" max="15881" width="12.5703125" style="458" customWidth="1"/>
    <col min="15882" max="15882" width="10.85546875" style="458" customWidth="1"/>
    <col min="15883" max="15883" width="13.5703125" style="458" customWidth="1"/>
    <col min="15884" max="15884" width="10.42578125" style="458" customWidth="1"/>
    <col min="15885" max="15885" width="10.5703125" style="458" customWidth="1"/>
    <col min="15886" max="15886" width="11" style="458" customWidth="1"/>
    <col min="15887" max="15888" width="12" style="458" customWidth="1"/>
    <col min="15889" max="15889" width="11.42578125" style="458" customWidth="1"/>
    <col min="15890" max="15890" width="6.85546875" style="458" customWidth="1"/>
    <col min="15891" max="15893" width="6" style="458" customWidth="1"/>
    <col min="15894" max="15896" width="0" style="458" hidden="1" customWidth="1"/>
    <col min="15897" max="15897" width="15.140625" style="458" customWidth="1"/>
    <col min="15898" max="16128" width="9" style="458"/>
    <col min="16129" max="16129" width="5" style="458" customWidth="1"/>
    <col min="16130" max="16130" width="30.140625" style="458" customWidth="1"/>
    <col min="16131" max="16131" width="13.140625" style="458" customWidth="1"/>
    <col min="16132" max="16132" width="10.85546875" style="458" customWidth="1"/>
    <col min="16133" max="16133" width="12.85546875" style="458" customWidth="1"/>
    <col min="16134" max="16134" width="11" style="458" customWidth="1"/>
    <col min="16135" max="16136" width="10.42578125" style="458" customWidth="1"/>
    <col min="16137" max="16137" width="12.5703125" style="458" customWidth="1"/>
    <col min="16138" max="16138" width="10.85546875" style="458" customWidth="1"/>
    <col min="16139" max="16139" width="13.5703125" style="458" customWidth="1"/>
    <col min="16140" max="16140" width="10.42578125" style="458" customWidth="1"/>
    <col min="16141" max="16141" width="10.5703125" style="458" customWidth="1"/>
    <col min="16142" max="16142" width="11" style="458" customWidth="1"/>
    <col min="16143" max="16144" width="12" style="458" customWidth="1"/>
    <col min="16145" max="16145" width="11.42578125" style="458" customWidth="1"/>
    <col min="16146" max="16146" width="6.85546875" style="458" customWidth="1"/>
    <col min="16147" max="16149" width="6" style="458" customWidth="1"/>
    <col min="16150" max="16152" width="0" style="458" hidden="1" customWidth="1"/>
    <col min="16153" max="16153" width="15.140625" style="458" customWidth="1"/>
    <col min="16154" max="16384" width="9" style="458"/>
  </cols>
  <sheetData>
    <row r="1" spans="1:25" ht="18" customHeight="1" x14ac:dyDescent="0.25">
      <c r="A1" s="600" t="s">
        <v>605</v>
      </c>
      <c r="B1" s="600"/>
      <c r="C1" s="600"/>
      <c r="D1" s="600"/>
      <c r="E1" s="600"/>
      <c r="F1" s="600"/>
      <c r="G1" s="600"/>
      <c r="H1" s="600"/>
      <c r="I1" s="600"/>
      <c r="J1" s="600"/>
      <c r="K1" s="600"/>
      <c r="L1" s="600"/>
      <c r="M1" s="600"/>
      <c r="N1" s="600"/>
      <c r="O1" s="600"/>
      <c r="P1" s="600"/>
      <c r="Q1" s="600"/>
      <c r="R1" s="600"/>
      <c r="S1" s="600"/>
      <c r="T1" s="600"/>
      <c r="U1" s="600"/>
    </row>
    <row r="2" spans="1:25" ht="21.75" customHeight="1" x14ac:dyDescent="0.3">
      <c r="A2" s="704" t="s">
        <v>479</v>
      </c>
      <c r="B2" s="704"/>
      <c r="C2" s="704"/>
      <c r="D2" s="704"/>
      <c r="E2" s="704"/>
      <c r="F2" s="704"/>
      <c r="G2" s="704"/>
      <c r="H2" s="704"/>
      <c r="I2" s="704"/>
      <c r="J2" s="704"/>
      <c r="K2" s="704"/>
      <c r="L2" s="704"/>
      <c r="M2" s="704"/>
      <c r="N2" s="704"/>
      <c r="O2" s="704"/>
      <c r="P2" s="704"/>
      <c r="Q2" s="704"/>
      <c r="R2" s="704"/>
      <c r="S2" s="704"/>
      <c r="T2" s="704"/>
      <c r="U2" s="704"/>
    </row>
    <row r="3" spans="1:25" ht="21.75" customHeight="1" x14ac:dyDescent="0.3">
      <c r="A3" s="705" t="str">
        <f>'59'!A4</f>
        <v>(Kèm theo Nghị quyết số 13/NQ-HĐND ngày 25 tháng 3 năm 2026 của HĐND  xã Quỳnh Nhai)</v>
      </c>
      <c r="B3" s="705"/>
      <c r="C3" s="705"/>
      <c r="D3" s="705"/>
      <c r="E3" s="705"/>
      <c r="F3" s="705"/>
      <c r="G3" s="705"/>
      <c r="H3" s="705"/>
      <c r="I3" s="705"/>
      <c r="J3" s="705"/>
      <c r="K3" s="705"/>
      <c r="L3" s="705"/>
      <c r="M3" s="705"/>
      <c r="N3" s="705"/>
      <c r="O3" s="705"/>
      <c r="P3" s="705"/>
      <c r="Q3" s="705"/>
      <c r="R3" s="705"/>
      <c r="S3" s="705"/>
      <c r="T3" s="705"/>
      <c r="U3" s="705"/>
    </row>
    <row r="4" spans="1:25" ht="26.25" customHeight="1" x14ac:dyDescent="0.25">
      <c r="A4" s="396"/>
      <c r="B4" s="513"/>
      <c r="C4" s="706"/>
      <c r="D4" s="706"/>
      <c r="E4" s="459"/>
      <c r="F4" s="707"/>
      <c r="G4" s="707"/>
      <c r="H4" s="707"/>
      <c r="I4" s="707"/>
      <c r="J4" s="459"/>
      <c r="K4" s="708"/>
      <c r="L4" s="708"/>
      <c r="M4" s="359"/>
      <c r="N4" s="709"/>
      <c r="O4" s="709"/>
      <c r="P4" s="710"/>
      <c r="Q4" s="710"/>
      <c r="R4" s="713" t="s">
        <v>227</v>
      </c>
      <c r="S4" s="713"/>
      <c r="T4" s="713"/>
      <c r="U4" s="713"/>
    </row>
    <row r="5" spans="1:25" s="460" customFormat="1" ht="24.75" customHeight="1" x14ac:dyDescent="0.25">
      <c r="A5" s="700" t="s">
        <v>14</v>
      </c>
      <c r="B5" s="700" t="s">
        <v>480</v>
      </c>
      <c r="C5" s="701" t="s">
        <v>445</v>
      </c>
      <c r="D5" s="702"/>
      <c r="E5" s="702"/>
      <c r="F5" s="702"/>
      <c r="G5" s="702"/>
      <c r="H5" s="703"/>
      <c r="I5" s="700" t="s">
        <v>446</v>
      </c>
      <c r="J5" s="700"/>
      <c r="K5" s="700"/>
      <c r="L5" s="700"/>
      <c r="M5" s="700"/>
      <c r="N5" s="700"/>
      <c r="O5" s="700"/>
      <c r="P5" s="700"/>
      <c r="Q5" s="700"/>
      <c r="R5" s="700"/>
      <c r="S5" s="700" t="s">
        <v>481</v>
      </c>
      <c r="T5" s="700"/>
      <c r="U5" s="700"/>
    </row>
    <row r="6" spans="1:25" s="460" customFormat="1" ht="23.25" customHeight="1" x14ac:dyDescent="0.25">
      <c r="A6" s="700"/>
      <c r="B6" s="700"/>
      <c r="C6" s="700" t="s">
        <v>1</v>
      </c>
      <c r="D6" s="700" t="s">
        <v>482</v>
      </c>
      <c r="E6" s="700" t="s">
        <v>483</v>
      </c>
      <c r="F6" s="701" t="s">
        <v>484</v>
      </c>
      <c r="G6" s="702"/>
      <c r="H6" s="703"/>
      <c r="I6" s="700" t="s">
        <v>1</v>
      </c>
      <c r="J6" s="700" t="s">
        <v>482</v>
      </c>
      <c r="K6" s="712" t="s">
        <v>483</v>
      </c>
      <c r="L6" s="700" t="s">
        <v>485</v>
      </c>
      <c r="M6" s="700"/>
      <c r="N6" s="700"/>
      <c r="O6" s="700" t="s">
        <v>486</v>
      </c>
      <c r="P6" s="700" t="s">
        <v>487</v>
      </c>
      <c r="Q6" s="700" t="s">
        <v>467</v>
      </c>
      <c r="R6" s="700" t="s">
        <v>488</v>
      </c>
      <c r="S6" s="700" t="s">
        <v>1</v>
      </c>
      <c r="T6" s="700" t="s">
        <v>137</v>
      </c>
      <c r="U6" s="700" t="s">
        <v>489</v>
      </c>
    </row>
    <row r="7" spans="1:25" s="461" customFormat="1" ht="61.7" customHeight="1" x14ac:dyDescent="0.25">
      <c r="A7" s="700"/>
      <c r="B7" s="700"/>
      <c r="C7" s="700"/>
      <c r="D7" s="700"/>
      <c r="E7" s="700"/>
      <c r="F7" s="273" t="s">
        <v>1</v>
      </c>
      <c r="G7" s="273" t="s">
        <v>137</v>
      </c>
      <c r="H7" s="273" t="s">
        <v>490</v>
      </c>
      <c r="I7" s="700"/>
      <c r="J7" s="700"/>
      <c r="K7" s="712"/>
      <c r="L7" s="273" t="s">
        <v>1</v>
      </c>
      <c r="M7" s="273" t="s">
        <v>137</v>
      </c>
      <c r="N7" s="273" t="s">
        <v>490</v>
      </c>
      <c r="O7" s="700"/>
      <c r="P7" s="700"/>
      <c r="Q7" s="700"/>
      <c r="R7" s="700"/>
      <c r="S7" s="700"/>
      <c r="T7" s="700"/>
      <c r="U7" s="700"/>
      <c r="X7" s="462">
        <v>394704241.43800002</v>
      </c>
    </row>
    <row r="8" spans="1:25" s="466" customFormat="1" ht="18.75" customHeight="1" x14ac:dyDescent="0.2">
      <c r="A8" s="463" t="s">
        <v>21</v>
      </c>
      <c r="B8" s="514" t="s">
        <v>22</v>
      </c>
      <c r="C8" s="463">
        <v>1</v>
      </c>
      <c r="D8" s="463">
        <v>2</v>
      </c>
      <c r="E8" s="463">
        <v>3</v>
      </c>
      <c r="F8" s="463"/>
      <c r="G8" s="463"/>
      <c r="H8" s="463"/>
      <c r="I8" s="464" t="s">
        <v>491</v>
      </c>
      <c r="J8" s="463">
        <v>5</v>
      </c>
      <c r="K8" s="465">
        <v>6</v>
      </c>
      <c r="L8" s="463">
        <v>7</v>
      </c>
      <c r="M8" s="463">
        <v>8</v>
      </c>
      <c r="N8" s="463">
        <v>9</v>
      </c>
      <c r="O8" s="463">
        <v>10</v>
      </c>
      <c r="P8" s="463"/>
      <c r="Q8" s="463">
        <v>12</v>
      </c>
      <c r="R8" s="463">
        <v>13</v>
      </c>
      <c r="S8" s="463">
        <v>14</v>
      </c>
      <c r="T8" s="463">
        <v>15</v>
      </c>
      <c r="U8" s="463">
        <v>16</v>
      </c>
    </row>
    <row r="9" spans="1:25" s="470" customFormat="1" ht="18.75" hidden="1" customHeight="1" x14ac:dyDescent="0.2">
      <c r="A9" s="467"/>
      <c r="B9" s="515"/>
      <c r="C9" s="467"/>
      <c r="D9" s="467"/>
      <c r="E9" s="467"/>
      <c r="F9" s="467"/>
      <c r="G9" s="467"/>
      <c r="H9" s="467"/>
      <c r="I9" s="468"/>
      <c r="J9" s="467"/>
      <c r="K9" s="469">
        <f>K10-K11</f>
        <v>0</v>
      </c>
      <c r="L9" s="469"/>
      <c r="M9" s="469"/>
      <c r="N9" s="469">
        <f>N10-N11</f>
        <v>0</v>
      </c>
      <c r="O9" s="469"/>
      <c r="P9" s="469"/>
      <c r="Q9" s="467"/>
      <c r="R9" s="467"/>
      <c r="S9" s="467"/>
      <c r="T9" s="467"/>
      <c r="U9" s="467"/>
    </row>
    <row r="10" spans="1:25" s="470" customFormat="1" ht="18.75" hidden="1" customHeight="1" x14ac:dyDescent="0.2">
      <c r="A10" s="467"/>
      <c r="B10" s="515"/>
      <c r="C10" s="467"/>
      <c r="D10" s="467"/>
      <c r="E10" s="467"/>
      <c r="F10" s="467"/>
      <c r="G10" s="467"/>
      <c r="H10" s="467"/>
      <c r="I10" s="468"/>
      <c r="J10" s="467"/>
      <c r="K10" s="469">
        <v>339147506168</v>
      </c>
      <c r="L10" s="469"/>
      <c r="M10" s="469"/>
      <c r="N10" s="469">
        <v>16215443586</v>
      </c>
      <c r="O10" s="469"/>
      <c r="P10" s="469"/>
      <c r="Q10" s="467"/>
      <c r="R10" s="467"/>
      <c r="S10" s="467"/>
      <c r="T10" s="467"/>
      <c r="U10" s="467"/>
    </row>
    <row r="11" spans="1:25" s="475" customFormat="1" ht="23.25" customHeight="1" x14ac:dyDescent="0.25">
      <c r="A11" s="471"/>
      <c r="B11" s="516" t="s">
        <v>406</v>
      </c>
      <c r="C11" s="472">
        <f t="shared" ref="C11:N11" si="0">C12+C23+C39+C42+C43+C44+C45</f>
        <v>280852475988</v>
      </c>
      <c r="D11" s="472">
        <f t="shared" si="0"/>
        <v>0</v>
      </c>
      <c r="E11" s="472">
        <f t="shared" si="0"/>
        <v>269974686802</v>
      </c>
      <c r="F11" s="472">
        <f t="shared" si="0"/>
        <v>10877789186</v>
      </c>
      <c r="G11" s="472">
        <f t="shared" si="0"/>
        <v>0</v>
      </c>
      <c r="H11" s="472">
        <f t="shared" si="0"/>
        <v>10877789186</v>
      </c>
      <c r="I11" s="472">
        <f t="shared" si="0"/>
        <v>349418918354</v>
      </c>
      <c r="J11" s="472">
        <f t="shared" si="0"/>
        <v>0</v>
      </c>
      <c r="K11" s="472">
        <f t="shared" si="0"/>
        <v>339147506168</v>
      </c>
      <c r="L11" s="472">
        <f t="shared" si="0"/>
        <v>10271412186</v>
      </c>
      <c r="M11" s="472">
        <f t="shared" si="0"/>
        <v>0</v>
      </c>
      <c r="N11" s="472">
        <f t="shared" si="0"/>
        <v>16215443586</v>
      </c>
      <c r="O11" s="472">
        <f>O44</f>
        <v>0</v>
      </c>
      <c r="P11" s="472">
        <f>P12+P23+P39+P42+P43+P44+P45</f>
        <v>0</v>
      </c>
      <c r="Q11" s="472">
        <f>Q12+Q23+Q39+Q42+Q43+Q44+Q45</f>
        <v>0</v>
      </c>
      <c r="R11" s="472">
        <f>R12+R23+R39+R42</f>
        <v>0</v>
      </c>
      <c r="S11" s="473">
        <f t="shared" ref="S11:U21" si="1">I11/C11*100%</f>
        <v>1.244136862688473</v>
      </c>
      <c r="T11" s="473"/>
      <c r="U11" s="473">
        <f t="shared" si="1"/>
        <v>1.256219648535907</v>
      </c>
      <c r="V11" s="474">
        <f>I11-[4]B53!G8</f>
        <v>349418918354</v>
      </c>
      <c r="X11" s="476">
        <f>C12-I12</f>
        <v>-68458745810</v>
      </c>
    </row>
    <row r="12" spans="1:25" s="481" customFormat="1" ht="23.25" customHeight="1" x14ac:dyDescent="0.25">
      <c r="A12" s="477" t="s">
        <v>115</v>
      </c>
      <c r="B12" s="274" t="s">
        <v>492</v>
      </c>
      <c r="C12" s="478">
        <f>SUM(C13:C22)</f>
        <v>146642347568</v>
      </c>
      <c r="D12" s="478">
        <f t="shared" ref="D12:R12" si="2">SUM(D13:D22)</f>
        <v>0</v>
      </c>
      <c r="E12" s="478">
        <f t="shared" si="2"/>
        <v>135764558382</v>
      </c>
      <c r="F12" s="478">
        <f t="shared" si="2"/>
        <v>10877789186</v>
      </c>
      <c r="G12" s="478">
        <f t="shared" si="2"/>
        <v>0</v>
      </c>
      <c r="H12" s="478">
        <f t="shared" si="2"/>
        <v>10877789186</v>
      </c>
      <c r="I12" s="478">
        <f t="shared" si="2"/>
        <v>215101093378</v>
      </c>
      <c r="J12" s="478">
        <f t="shared" si="2"/>
        <v>0</v>
      </c>
      <c r="K12" s="478">
        <f t="shared" si="2"/>
        <v>204829681192</v>
      </c>
      <c r="L12" s="478">
        <f t="shared" si="2"/>
        <v>10271412186</v>
      </c>
      <c r="M12" s="478">
        <f t="shared" si="2"/>
        <v>0</v>
      </c>
      <c r="N12" s="478">
        <f t="shared" si="2"/>
        <v>16215443586</v>
      </c>
      <c r="O12" s="478">
        <f t="shared" si="2"/>
        <v>2789640954</v>
      </c>
      <c r="P12" s="478">
        <f t="shared" si="2"/>
        <v>0</v>
      </c>
      <c r="Q12" s="478">
        <f t="shared" si="2"/>
        <v>0</v>
      </c>
      <c r="R12" s="478">
        <f t="shared" si="2"/>
        <v>0</v>
      </c>
      <c r="S12" s="479">
        <f t="shared" si="1"/>
        <v>1.4668415839309636</v>
      </c>
      <c r="T12" s="479"/>
      <c r="U12" s="479">
        <f t="shared" si="1"/>
        <v>1.5087124624651438</v>
      </c>
      <c r="V12" s="480"/>
      <c r="X12" s="482"/>
      <c r="Y12" s="483">
        <f>SUM(K13:K21)</f>
        <v>133581294428</v>
      </c>
    </row>
    <row r="13" spans="1:25" s="489" customFormat="1" ht="23.25" customHeight="1" x14ac:dyDescent="0.25">
      <c r="A13" s="373">
        <v>1</v>
      </c>
      <c r="B13" s="334" t="s">
        <v>493</v>
      </c>
      <c r="C13" s="485">
        <f>D13+E13+F13</f>
        <v>8109787000</v>
      </c>
      <c r="D13" s="485"/>
      <c r="E13" s="485">
        <v>8109787000</v>
      </c>
      <c r="F13" s="485">
        <f>SUM(G13:H13)</f>
        <v>0</v>
      </c>
      <c r="G13" s="485"/>
      <c r="H13" s="485"/>
      <c r="I13" s="485">
        <f>J13+K13+L13</f>
        <v>6709787000</v>
      </c>
      <c r="J13" s="485"/>
      <c r="K13" s="485">
        <v>6709787000</v>
      </c>
      <c r="L13" s="485">
        <f>M13+N13</f>
        <v>0</v>
      </c>
      <c r="M13" s="485"/>
      <c r="N13" s="485"/>
      <c r="O13" s="485">
        <f>C13-I13</f>
        <v>1400000000</v>
      </c>
      <c r="P13" s="485"/>
      <c r="Q13" s="485"/>
      <c r="R13" s="486"/>
      <c r="S13" s="487">
        <f t="shared" si="1"/>
        <v>0.82736907886729949</v>
      </c>
      <c r="T13" s="487"/>
      <c r="U13" s="487">
        <f t="shared" si="1"/>
        <v>0.82736907886729949</v>
      </c>
      <c r="V13" s="488">
        <f>C13-I13</f>
        <v>1400000000</v>
      </c>
      <c r="X13" s="490"/>
    </row>
    <row r="14" spans="1:25" s="489" customFormat="1" ht="22.7" customHeight="1" x14ac:dyDescent="0.25">
      <c r="A14" s="373">
        <v>2</v>
      </c>
      <c r="B14" s="517" t="s">
        <v>494</v>
      </c>
      <c r="C14" s="485">
        <f t="shared" ref="C14:C41" si="3">D14+E14+F14</f>
        <v>2363702660</v>
      </c>
      <c r="D14" s="485"/>
      <c r="E14" s="485">
        <v>2363702660</v>
      </c>
      <c r="F14" s="485">
        <f t="shared" ref="F14:F38" si="4">SUM(G14:H14)</f>
        <v>0</v>
      </c>
      <c r="G14" s="485"/>
      <c r="H14" s="485"/>
      <c r="I14" s="485">
        <f t="shared" ref="I14:I22" si="5">J14+K14+L14</f>
        <v>2363702660</v>
      </c>
      <c r="J14" s="485"/>
      <c r="K14" s="485">
        <v>2363702660</v>
      </c>
      <c r="L14" s="485">
        <f t="shared" ref="L14:L38" si="6">M14+N14</f>
        <v>0</v>
      </c>
      <c r="M14" s="485"/>
      <c r="N14" s="485"/>
      <c r="O14" s="485">
        <f t="shared" ref="O14:O37" si="7">C14-I14</f>
        <v>0</v>
      </c>
      <c r="P14" s="485"/>
      <c r="Q14" s="485"/>
      <c r="R14" s="486"/>
      <c r="S14" s="487">
        <f t="shared" si="1"/>
        <v>1</v>
      </c>
      <c r="T14" s="487"/>
      <c r="U14" s="487">
        <f t="shared" si="1"/>
        <v>1</v>
      </c>
      <c r="V14" s="488">
        <f t="shared" ref="V14:V45" si="8">C14-I14</f>
        <v>0</v>
      </c>
      <c r="X14" s="490"/>
    </row>
    <row r="15" spans="1:25" s="489" customFormat="1" ht="23.25" customHeight="1" x14ac:dyDescent="0.25">
      <c r="A15" s="373">
        <v>3</v>
      </c>
      <c r="B15" s="517" t="s">
        <v>495</v>
      </c>
      <c r="C15" s="485">
        <f t="shared" si="3"/>
        <v>35225490125</v>
      </c>
      <c r="D15" s="485"/>
      <c r="E15" s="485">
        <v>35225490125</v>
      </c>
      <c r="F15" s="485">
        <f t="shared" si="4"/>
        <v>0</v>
      </c>
      <c r="G15" s="485"/>
      <c r="H15" s="485"/>
      <c r="I15" s="485">
        <f t="shared" si="5"/>
        <v>35139698121</v>
      </c>
      <c r="J15" s="485"/>
      <c r="K15" s="485">
        <v>35139698121</v>
      </c>
      <c r="L15" s="485">
        <f t="shared" si="6"/>
        <v>0</v>
      </c>
      <c r="M15" s="485"/>
      <c r="N15" s="485"/>
      <c r="O15" s="485">
        <f t="shared" si="7"/>
        <v>85792004</v>
      </c>
      <c r="P15" s="485"/>
      <c r="Q15" s="485"/>
      <c r="R15" s="486"/>
      <c r="S15" s="487">
        <f t="shared" si="1"/>
        <v>0.9975644908361655</v>
      </c>
      <c r="T15" s="487"/>
      <c r="U15" s="487">
        <f t="shared" si="1"/>
        <v>0.9975644908361655</v>
      </c>
      <c r="V15" s="488">
        <f t="shared" si="8"/>
        <v>85792004</v>
      </c>
      <c r="X15" s="490"/>
    </row>
    <row r="16" spans="1:25" s="489" customFormat="1" ht="23.25" customHeight="1" x14ac:dyDescent="0.25">
      <c r="A16" s="373">
        <v>4</v>
      </c>
      <c r="B16" s="517" t="s">
        <v>496</v>
      </c>
      <c r="C16" s="485">
        <f t="shared" si="3"/>
        <v>27851240586</v>
      </c>
      <c r="D16" s="485"/>
      <c r="E16" s="485">
        <f>18501736350-E40</f>
        <v>18437249400</v>
      </c>
      <c r="F16" s="485">
        <f t="shared" si="4"/>
        <v>9413991186</v>
      </c>
      <c r="G16" s="485"/>
      <c r="H16" s="485">
        <f>9413991186</f>
        <v>9413991186</v>
      </c>
      <c r="I16" s="485">
        <f t="shared" si="5"/>
        <v>26895313586</v>
      </c>
      <c r="J16" s="485"/>
      <c r="K16" s="485">
        <f>18152186350-K40</f>
        <v>18087699400</v>
      </c>
      <c r="L16" s="485">
        <f t="shared" si="6"/>
        <v>8807614186</v>
      </c>
      <c r="M16" s="485"/>
      <c r="N16" s="485">
        <v>8807614186</v>
      </c>
      <c r="O16" s="485">
        <f t="shared" si="7"/>
        <v>955927000</v>
      </c>
      <c r="P16" s="485"/>
      <c r="Q16" s="485"/>
      <c r="R16" s="486"/>
      <c r="S16" s="487">
        <f t="shared" si="1"/>
        <v>0.96567739964587007</v>
      </c>
      <c r="T16" s="487"/>
      <c r="U16" s="487">
        <f t="shared" si="1"/>
        <v>0.98104109824538144</v>
      </c>
      <c r="V16" s="488">
        <f t="shared" si="8"/>
        <v>955927000</v>
      </c>
      <c r="X16" s="490"/>
      <c r="Y16" s="491"/>
    </row>
    <row r="17" spans="1:25" s="489" customFormat="1" ht="23.25" customHeight="1" x14ac:dyDescent="0.25">
      <c r="A17" s="373">
        <v>5</v>
      </c>
      <c r="B17" s="517" t="s">
        <v>497</v>
      </c>
      <c r="C17" s="492">
        <f>D17+E17+F17</f>
        <v>61622672761</v>
      </c>
      <c r="D17" s="492"/>
      <c r="E17" s="492">
        <v>60158874761</v>
      </c>
      <c r="F17" s="492">
        <f>SUM(G17:H17)</f>
        <v>1463798000</v>
      </c>
      <c r="G17" s="492"/>
      <c r="H17" s="492">
        <f>1463798000</f>
        <v>1463798000</v>
      </c>
      <c r="I17" s="485">
        <f t="shared" si="5"/>
        <v>61378722061</v>
      </c>
      <c r="J17" s="492"/>
      <c r="K17" s="492">
        <v>59914924061</v>
      </c>
      <c r="L17" s="492">
        <f t="shared" si="6"/>
        <v>1463798000</v>
      </c>
      <c r="M17" s="492"/>
      <c r="N17" s="492">
        <f>1463798000</f>
        <v>1463798000</v>
      </c>
      <c r="O17" s="485">
        <f t="shared" si="7"/>
        <v>243950700</v>
      </c>
      <c r="P17" s="492"/>
      <c r="Q17" s="492"/>
      <c r="R17" s="493"/>
      <c r="S17" s="494">
        <f t="shared" si="1"/>
        <v>0.9960412184498042</v>
      </c>
      <c r="T17" s="494"/>
      <c r="U17" s="494">
        <f t="shared" si="1"/>
        <v>0.99594489257039509</v>
      </c>
      <c r="V17" s="488">
        <f t="shared" si="8"/>
        <v>243950700</v>
      </c>
      <c r="X17" s="490"/>
    </row>
    <row r="18" spans="1:25" s="489" customFormat="1" ht="32.450000000000003" customHeight="1" x14ac:dyDescent="0.25">
      <c r="A18" s="373">
        <v>6</v>
      </c>
      <c r="B18" s="517" t="s">
        <v>498</v>
      </c>
      <c r="C18" s="492">
        <f t="shared" si="3"/>
        <v>1345455000</v>
      </c>
      <c r="D18" s="492"/>
      <c r="E18" s="492">
        <v>1345455000</v>
      </c>
      <c r="F18" s="492">
        <f>SUM(G18:H18)</f>
        <v>0</v>
      </c>
      <c r="G18" s="492"/>
      <c r="H18" s="492"/>
      <c r="I18" s="485">
        <f t="shared" si="5"/>
        <v>1345455000</v>
      </c>
      <c r="J18" s="492"/>
      <c r="K18" s="492">
        <v>1345455000</v>
      </c>
      <c r="L18" s="492">
        <f t="shared" si="6"/>
        <v>0</v>
      </c>
      <c r="M18" s="492"/>
      <c r="N18" s="492"/>
      <c r="O18" s="485">
        <f t="shared" si="7"/>
        <v>0</v>
      </c>
      <c r="P18" s="492"/>
      <c r="Q18" s="492"/>
      <c r="R18" s="493"/>
      <c r="S18" s="494">
        <f t="shared" si="1"/>
        <v>1</v>
      </c>
      <c r="T18" s="494"/>
      <c r="U18" s="494">
        <f t="shared" si="1"/>
        <v>1</v>
      </c>
      <c r="V18" s="488">
        <f>C18-I18</f>
        <v>0</v>
      </c>
      <c r="X18" s="490">
        <v>7443590000</v>
      </c>
    </row>
    <row r="19" spans="1:25" s="489" customFormat="1" ht="23.25" customHeight="1" x14ac:dyDescent="0.25">
      <c r="A19" s="373">
        <v>7</v>
      </c>
      <c r="B19" s="517" t="s">
        <v>499</v>
      </c>
      <c r="C19" s="485">
        <f t="shared" si="3"/>
        <v>6218139844</v>
      </c>
      <c r="D19" s="485"/>
      <c r="E19" s="485">
        <v>6218139844</v>
      </c>
      <c r="F19" s="485">
        <f t="shared" si="4"/>
        <v>0</v>
      </c>
      <c r="G19" s="485"/>
      <c r="H19" s="485"/>
      <c r="I19" s="485">
        <f t="shared" si="5"/>
        <v>6218139844</v>
      </c>
      <c r="J19" s="485"/>
      <c r="K19" s="485">
        <v>6218139844</v>
      </c>
      <c r="L19" s="485">
        <f t="shared" si="6"/>
        <v>0</v>
      </c>
      <c r="M19" s="485"/>
      <c r="N19" s="485"/>
      <c r="O19" s="485">
        <f t="shared" si="7"/>
        <v>0</v>
      </c>
      <c r="P19" s="485"/>
      <c r="Q19" s="485"/>
      <c r="R19" s="486"/>
      <c r="S19" s="487">
        <f t="shared" si="1"/>
        <v>1</v>
      </c>
      <c r="T19" s="487"/>
      <c r="U19" s="487">
        <f t="shared" si="1"/>
        <v>1</v>
      </c>
      <c r="V19" s="488">
        <f t="shared" si="8"/>
        <v>0</v>
      </c>
      <c r="X19" s="490"/>
    </row>
    <row r="20" spans="1:25" s="489" customFormat="1" ht="23.25" customHeight="1" x14ac:dyDescent="0.25">
      <c r="A20" s="373">
        <v>8</v>
      </c>
      <c r="B20" s="517" t="s">
        <v>500</v>
      </c>
      <c r="C20" s="485">
        <f t="shared" si="3"/>
        <v>2184732892</v>
      </c>
      <c r="D20" s="485"/>
      <c r="E20" s="485">
        <v>2184732892</v>
      </c>
      <c r="F20" s="485">
        <f t="shared" si="4"/>
        <v>0</v>
      </c>
      <c r="G20" s="485"/>
      <c r="H20" s="485"/>
      <c r="I20" s="485">
        <f t="shared" si="5"/>
        <v>2184732892</v>
      </c>
      <c r="J20" s="485"/>
      <c r="K20" s="485">
        <v>2184732892</v>
      </c>
      <c r="L20" s="485">
        <f>M20+N20</f>
        <v>0</v>
      </c>
      <c r="M20" s="485"/>
      <c r="N20" s="485"/>
      <c r="O20" s="485">
        <f t="shared" si="7"/>
        <v>0</v>
      </c>
      <c r="P20" s="485"/>
      <c r="Q20" s="485"/>
      <c r="R20" s="486"/>
      <c r="S20" s="487">
        <f t="shared" si="1"/>
        <v>1</v>
      </c>
      <c r="T20" s="487"/>
      <c r="U20" s="487">
        <f t="shared" si="1"/>
        <v>1</v>
      </c>
      <c r="V20" s="488">
        <f t="shared" si="8"/>
        <v>0</v>
      </c>
      <c r="X20" s="490"/>
    </row>
    <row r="21" spans="1:25" s="489" customFormat="1" ht="23.25" customHeight="1" x14ac:dyDescent="0.25">
      <c r="A21" s="373">
        <v>9</v>
      </c>
      <c r="B21" s="517" t="s">
        <v>501</v>
      </c>
      <c r="C21" s="492">
        <f>D21+E21+F21</f>
        <v>1721126700</v>
      </c>
      <c r="D21" s="492"/>
      <c r="E21" s="492">
        <v>1721126700</v>
      </c>
      <c r="F21" s="492">
        <f t="shared" si="4"/>
        <v>0</v>
      </c>
      <c r="G21" s="492"/>
      <c r="H21" s="492"/>
      <c r="I21" s="485">
        <f t="shared" si="5"/>
        <v>1617155450</v>
      </c>
      <c r="J21" s="492"/>
      <c r="K21" s="492">
        <v>1617155450</v>
      </c>
      <c r="L21" s="492">
        <f t="shared" si="6"/>
        <v>0</v>
      </c>
      <c r="M21" s="492"/>
      <c r="N21" s="492"/>
      <c r="O21" s="485">
        <f t="shared" si="7"/>
        <v>103971250</v>
      </c>
      <c r="P21" s="492"/>
      <c r="Q21" s="492"/>
      <c r="R21" s="493"/>
      <c r="S21" s="494">
        <f t="shared" si="1"/>
        <v>0.93959117013291349</v>
      </c>
      <c r="T21" s="494"/>
      <c r="U21" s="494">
        <f t="shared" si="1"/>
        <v>0.93959117013291349</v>
      </c>
      <c r="V21" s="488">
        <f t="shared" si="8"/>
        <v>103971250</v>
      </c>
      <c r="X21" s="490"/>
    </row>
    <row r="22" spans="1:25" s="489" customFormat="1" ht="68.45" customHeight="1" x14ac:dyDescent="0.25">
      <c r="A22" s="373">
        <v>10</v>
      </c>
      <c r="B22" s="517" t="s">
        <v>502</v>
      </c>
      <c r="C22" s="492"/>
      <c r="D22" s="492"/>
      <c r="E22" s="492"/>
      <c r="F22" s="492"/>
      <c r="G22" s="492"/>
      <c r="H22" s="492"/>
      <c r="I22" s="485">
        <f t="shared" si="5"/>
        <v>71248386764</v>
      </c>
      <c r="J22" s="492"/>
      <c r="K22" s="492">
        <f>71356083320-K41</f>
        <v>71248386764</v>
      </c>
      <c r="L22" s="492"/>
      <c r="M22" s="492"/>
      <c r="N22" s="492">
        <v>5944031400</v>
      </c>
      <c r="O22" s="485"/>
      <c r="P22" s="492"/>
      <c r="Q22" s="492"/>
      <c r="R22" s="493"/>
      <c r="S22" s="494"/>
      <c r="T22" s="494"/>
      <c r="U22" s="494"/>
      <c r="V22" s="488"/>
      <c r="X22" s="490"/>
      <c r="Y22" s="491">
        <f>I22+I41</f>
        <v>71356083320</v>
      </c>
    </row>
    <row r="23" spans="1:25" s="496" customFormat="1" ht="23.25" customHeight="1" x14ac:dyDescent="0.25">
      <c r="A23" s="273" t="s">
        <v>71</v>
      </c>
      <c r="B23" s="495" t="s">
        <v>503</v>
      </c>
      <c r="C23" s="478">
        <f t="shared" ref="C23:K23" si="9">SUM(C24:C38)</f>
        <v>134145641470</v>
      </c>
      <c r="D23" s="478">
        <f t="shared" si="9"/>
        <v>0</v>
      </c>
      <c r="E23" s="478">
        <f t="shared" si="9"/>
        <v>134145641470</v>
      </c>
      <c r="F23" s="478">
        <f t="shared" si="9"/>
        <v>0</v>
      </c>
      <c r="G23" s="478">
        <f t="shared" si="9"/>
        <v>0</v>
      </c>
      <c r="H23" s="478">
        <f t="shared" si="9"/>
        <v>0</v>
      </c>
      <c r="I23" s="478">
        <f t="shared" si="9"/>
        <v>134145641470</v>
      </c>
      <c r="J23" s="478">
        <f t="shared" si="9"/>
        <v>0</v>
      </c>
      <c r="K23" s="478">
        <f t="shared" si="9"/>
        <v>134145641470</v>
      </c>
      <c r="L23" s="478">
        <f t="shared" ref="L23:Q23" si="10">SUM(L24:L38)</f>
        <v>0</v>
      </c>
      <c r="M23" s="478">
        <f t="shared" si="10"/>
        <v>0</v>
      </c>
      <c r="N23" s="478">
        <f t="shared" si="10"/>
        <v>0</v>
      </c>
      <c r="O23" s="478">
        <f t="shared" si="10"/>
        <v>0</v>
      </c>
      <c r="P23" s="478">
        <f t="shared" si="10"/>
        <v>0</v>
      </c>
      <c r="Q23" s="478">
        <f t="shared" si="10"/>
        <v>0</v>
      </c>
      <c r="R23" s="478">
        <f>SUM(R24:R38)</f>
        <v>0</v>
      </c>
      <c r="S23" s="487">
        <f>I23/C23*100%</f>
        <v>1</v>
      </c>
      <c r="T23" s="487"/>
      <c r="U23" s="494">
        <f>K23/E23*100%</f>
        <v>1</v>
      </c>
      <c r="V23" s="488">
        <f t="shared" si="8"/>
        <v>0</v>
      </c>
      <c r="Y23" s="497">
        <f>225467204000+35463000000-2600000000</f>
        <v>258330204000</v>
      </c>
    </row>
    <row r="24" spans="1:25" s="496" customFormat="1" ht="23.25" customHeight="1" x14ac:dyDescent="0.25">
      <c r="A24" s="373">
        <v>11</v>
      </c>
      <c r="B24" s="498" t="s">
        <v>504</v>
      </c>
      <c r="C24" s="485">
        <f>D24+E24+F24</f>
        <v>6626651432</v>
      </c>
      <c r="D24" s="499"/>
      <c r="E24" s="499">
        <v>6626651432</v>
      </c>
      <c r="F24" s="485">
        <f t="shared" si="4"/>
        <v>0</v>
      </c>
      <c r="G24" s="499"/>
      <c r="H24" s="499"/>
      <c r="I24" s="485">
        <f t="shared" ref="I24:I31" si="11">J24+K24+L24</f>
        <v>6626651432</v>
      </c>
      <c r="J24" s="499"/>
      <c r="K24" s="499">
        <v>6626651432</v>
      </c>
      <c r="L24" s="485">
        <f t="shared" si="6"/>
        <v>0</v>
      </c>
      <c r="M24" s="499"/>
      <c r="N24" s="499"/>
      <c r="O24" s="485">
        <f t="shared" si="7"/>
        <v>0</v>
      </c>
      <c r="P24" s="499"/>
      <c r="Q24" s="499"/>
      <c r="R24" s="500"/>
      <c r="S24" s="487">
        <f t="shared" ref="S24:S40" si="12">I24/C24*100%</f>
        <v>1</v>
      </c>
      <c r="T24" s="487"/>
      <c r="U24" s="487">
        <f t="shared" ref="U24:U40" si="13">K24/E24*100%</f>
        <v>1</v>
      </c>
      <c r="V24" s="488">
        <f t="shared" si="8"/>
        <v>0</v>
      </c>
    </row>
    <row r="25" spans="1:25" s="496" customFormat="1" ht="23.25" customHeight="1" x14ac:dyDescent="0.25">
      <c r="A25" s="373">
        <v>12</v>
      </c>
      <c r="B25" s="498" t="s">
        <v>505</v>
      </c>
      <c r="C25" s="485">
        <f t="shared" si="3"/>
        <v>4890271164</v>
      </c>
      <c r="D25" s="499"/>
      <c r="E25" s="499">
        <v>4890271164</v>
      </c>
      <c r="F25" s="485">
        <f t="shared" si="4"/>
        <v>0</v>
      </c>
      <c r="G25" s="499"/>
      <c r="H25" s="499"/>
      <c r="I25" s="485">
        <f t="shared" si="11"/>
        <v>4890271164</v>
      </c>
      <c r="J25" s="499"/>
      <c r="K25" s="499">
        <v>4890271164</v>
      </c>
      <c r="L25" s="485">
        <f t="shared" si="6"/>
        <v>0</v>
      </c>
      <c r="M25" s="499"/>
      <c r="N25" s="499"/>
      <c r="O25" s="485">
        <f t="shared" si="7"/>
        <v>0</v>
      </c>
      <c r="P25" s="499"/>
      <c r="Q25" s="499"/>
      <c r="R25" s="500"/>
      <c r="S25" s="487">
        <f t="shared" si="12"/>
        <v>1</v>
      </c>
      <c r="T25" s="487"/>
      <c r="U25" s="487">
        <f t="shared" si="13"/>
        <v>1</v>
      </c>
      <c r="V25" s="488">
        <f t="shared" si="8"/>
        <v>0</v>
      </c>
    </row>
    <row r="26" spans="1:25" s="496" customFormat="1" ht="23.25" customHeight="1" x14ac:dyDescent="0.25">
      <c r="A26" s="373">
        <v>13</v>
      </c>
      <c r="B26" s="498" t="s">
        <v>506</v>
      </c>
      <c r="C26" s="485">
        <f t="shared" si="3"/>
        <v>8623565224</v>
      </c>
      <c r="D26" s="499"/>
      <c r="E26" s="499">
        <v>8623565224</v>
      </c>
      <c r="F26" s="485">
        <f t="shared" si="4"/>
        <v>0</v>
      </c>
      <c r="G26" s="499"/>
      <c r="H26" s="499"/>
      <c r="I26" s="485">
        <f t="shared" si="11"/>
        <v>8623565224</v>
      </c>
      <c r="J26" s="499"/>
      <c r="K26" s="499">
        <v>8623565224</v>
      </c>
      <c r="L26" s="485">
        <f t="shared" si="6"/>
        <v>0</v>
      </c>
      <c r="M26" s="499"/>
      <c r="N26" s="499"/>
      <c r="O26" s="485">
        <f t="shared" si="7"/>
        <v>0</v>
      </c>
      <c r="P26" s="499"/>
      <c r="Q26" s="499"/>
      <c r="R26" s="500"/>
      <c r="S26" s="487">
        <f t="shared" si="12"/>
        <v>1</v>
      </c>
      <c r="T26" s="487"/>
      <c r="U26" s="487">
        <f t="shared" si="13"/>
        <v>1</v>
      </c>
      <c r="V26" s="488">
        <f t="shared" si="8"/>
        <v>0</v>
      </c>
    </row>
    <row r="27" spans="1:25" s="496" customFormat="1" ht="23.25" customHeight="1" x14ac:dyDescent="0.25">
      <c r="A27" s="373">
        <v>14</v>
      </c>
      <c r="B27" s="498" t="s">
        <v>507</v>
      </c>
      <c r="C27" s="485">
        <f t="shared" si="3"/>
        <v>5462411015</v>
      </c>
      <c r="D27" s="499"/>
      <c r="E27" s="499">
        <v>5462411015</v>
      </c>
      <c r="F27" s="485">
        <f t="shared" si="4"/>
        <v>0</v>
      </c>
      <c r="G27" s="499"/>
      <c r="H27" s="499"/>
      <c r="I27" s="485">
        <f t="shared" si="11"/>
        <v>5462411015</v>
      </c>
      <c r="J27" s="499"/>
      <c r="K27" s="499">
        <v>5462411015</v>
      </c>
      <c r="L27" s="485">
        <f t="shared" si="6"/>
        <v>0</v>
      </c>
      <c r="M27" s="499"/>
      <c r="N27" s="499"/>
      <c r="O27" s="485">
        <f t="shared" si="7"/>
        <v>0</v>
      </c>
      <c r="P27" s="499"/>
      <c r="Q27" s="499"/>
      <c r="R27" s="500"/>
      <c r="S27" s="487">
        <f t="shared" si="12"/>
        <v>1</v>
      </c>
      <c r="T27" s="487"/>
      <c r="U27" s="487">
        <f t="shared" si="13"/>
        <v>1</v>
      </c>
      <c r="V27" s="488">
        <f t="shared" si="8"/>
        <v>0</v>
      </c>
    </row>
    <row r="28" spans="1:25" s="496" customFormat="1" ht="23.25" customHeight="1" x14ac:dyDescent="0.25">
      <c r="A28" s="373">
        <v>15</v>
      </c>
      <c r="B28" s="498" t="s">
        <v>508</v>
      </c>
      <c r="C28" s="485">
        <f t="shared" si="3"/>
        <v>8486356181</v>
      </c>
      <c r="D28" s="499"/>
      <c r="E28" s="499">
        <v>8486356181</v>
      </c>
      <c r="F28" s="485">
        <f t="shared" si="4"/>
        <v>0</v>
      </c>
      <c r="G28" s="499"/>
      <c r="H28" s="499"/>
      <c r="I28" s="485">
        <f t="shared" si="11"/>
        <v>8486356181</v>
      </c>
      <c r="J28" s="499"/>
      <c r="K28" s="499">
        <v>8486356181</v>
      </c>
      <c r="L28" s="485">
        <f t="shared" si="6"/>
        <v>0</v>
      </c>
      <c r="M28" s="499"/>
      <c r="N28" s="499"/>
      <c r="O28" s="485">
        <f t="shared" si="7"/>
        <v>0</v>
      </c>
      <c r="P28" s="499"/>
      <c r="Q28" s="499"/>
      <c r="R28" s="500"/>
      <c r="S28" s="487">
        <f t="shared" si="12"/>
        <v>1</v>
      </c>
      <c r="T28" s="487"/>
      <c r="U28" s="487">
        <f t="shared" si="13"/>
        <v>1</v>
      </c>
      <c r="V28" s="488">
        <f t="shared" si="8"/>
        <v>0</v>
      </c>
    </row>
    <row r="29" spans="1:25" s="496" customFormat="1" ht="23.25" customHeight="1" x14ac:dyDescent="0.25">
      <c r="A29" s="373">
        <v>16</v>
      </c>
      <c r="B29" s="498" t="s">
        <v>509</v>
      </c>
      <c r="C29" s="485">
        <f t="shared" si="3"/>
        <v>9296592051</v>
      </c>
      <c r="D29" s="499"/>
      <c r="E29" s="499">
        <v>9296592051</v>
      </c>
      <c r="F29" s="485">
        <f t="shared" si="4"/>
        <v>0</v>
      </c>
      <c r="G29" s="499"/>
      <c r="H29" s="499"/>
      <c r="I29" s="485">
        <f t="shared" si="11"/>
        <v>9296592051</v>
      </c>
      <c r="J29" s="499"/>
      <c r="K29" s="499">
        <v>9296592051</v>
      </c>
      <c r="L29" s="485">
        <f t="shared" si="6"/>
        <v>0</v>
      </c>
      <c r="M29" s="499"/>
      <c r="N29" s="499"/>
      <c r="O29" s="485">
        <f t="shared" si="7"/>
        <v>0</v>
      </c>
      <c r="P29" s="499"/>
      <c r="Q29" s="499"/>
      <c r="R29" s="500"/>
      <c r="S29" s="487">
        <f t="shared" si="12"/>
        <v>1</v>
      </c>
      <c r="T29" s="487"/>
      <c r="U29" s="487">
        <f t="shared" si="13"/>
        <v>1</v>
      </c>
      <c r="V29" s="488">
        <f t="shared" si="8"/>
        <v>0</v>
      </c>
    </row>
    <row r="30" spans="1:25" s="496" customFormat="1" ht="23.25" customHeight="1" x14ac:dyDescent="0.25">
      <c r="A30" s="373">
        <v>17</v>
      </c>
      <c r="B30" s="498" t="s">
        <v>510</v>
      </c>
      <c r="C30" s="485">
        <f t="shared" si="3"/>
        <v>11377207772</v>
      </c>
      <c r="D30" s="499"/>
      <c r="E30" s="499">
        <v>11377207772</v>
      </c>
      <c r="F30" s="485">
        <f t="shared" si="4"/>
        <v>0</v>
      </c>
      <c r="G30" s="499"/>
      <c r="H30" s="499"/>
      <c r="I30" s="485">
        <f t="shared" si="11"/>
        <v>11377207772</v>
      </c>
      <c r="J30" s="499"/>
      <c r="K30" s="499">
        <v>11377207772</v>
      </c>
      <c r="L30" s="485">
        <f t="shared" si="6"/>
        <v>0</v>
      </c>
      <c r="M30" s="499"/>
      <c r="N30" s="499"/>
      <c r="O30" s="485">
        <f t="shared" si="7"/>
        <v>0</v>
      </c>
      <c r="P30" s="499"/>
      <c r="Q30" s="499"/>
      <c r="R30" s="500"/>
      <c r="S30" s="487">
        <f t="shared" si="12"/>
        <v>1</v>
      </c>
      <c r="T30" s="487"/>
      <c r="U30" s="487">
        <f t="shared" si="13"/>
        <v>1</v>
      </c>
      <c r="V30" s="488">
        <f t="shared" si="8"/>
        <v>0</v>
      </c>
    </row>
    <row r="31" spans="1:25" s="496" customFormat="1" ht="23.25" customHeight="1" x14ac:dyDescent="0.25">
      <c r="A31" s="373">
        <v>18</v>
      </c>
      <c r="B31" s="498" t="s">
        <v>511</v>
      </c>
      <c r="C31" s="485">
        <f t="shared" si="3"/>
        <v>12822256127</v>
      </c>
      <c r="D31" s="499"/>
      <c r="E31" s="499">
        <v>12822256127</v>
      </c>
      <c r="F31" s="485">
        <f t="shared" si="4"/>
        <v>0</v>
      </c>
      <c r="G31" s="499"/>
      <c r="H31" s="499"/>
      <c r="I31" s="485">
        <f t="shared" si="11"/>
        <v>12822256127</v>
      </c>
      <c r="J31" s="499"/>
      <c r="K31" s="499">
        <v>12822256127</v>
      </c>
      <c r="L31" s="485">
        <f t="shared" si="6"/>
        <v>0</v>
      </c>
      <c r="M31" s="499"/>
      <c r="N31" s="499"/>
      <c r="O31" s="485">
        <f t="shared" si="7"/>
        <v>0</v>
      </c>
      <c r="P31" s="499"/>
      <c r="Q31" s="499"/>
      <c r="R31" s="500"/>
      <c r="S31" s="487">
        <f t="shared" si="12"/>
        <v>1</v>
      </c>
      <c r="T31" s="487"/>
      <c r="U31" s="487">
        <f t="shared" si="13"/>
        <v>1</v>
      </c>
      <c r="V31" s="488">
        <f t="shared" si="8"/>
        <v>0</v>
      </c>
    </row>
    <row r="32" spans="1:25" s="496" customFormat="1" ht="23.25" customHeight="1" x14ac:dyDescent="0.25">
      <c r="A32" s="373">
        <v>19</v>
      </c>
      <c r="B32" s="498" t="s">
        <v>512</v>
      </c>
      <c r="C32" s="485">
        <f t="shared" si="3"/>
        <v>8416172039</v>
      </c>
      <c r="D32" s="499"/>
      <c r="E32" s="499">
        <v>8416172039</v>
      </c>
      <c r="F32" s="485">
        <f t="shared" si="4"/>
        <v>0</v>
      </c>
      <c r="G32" s="499"/>
      <c r="H32" s="499"/>
      <c r="I32" s="485">
        <f>J32+K32+L32</f>
        <v>8416172039</v>
      </c>
      <c r="J32" s="499"/>
      <c r="K32" s="499">
        <v>8416172039</v>
      </c>
      <c r="L32" s="485">
        <f t="shared" si="6"/>
        <v>0</v>
      </c>
      <c r="M32" s="499"/>
      <c r="N32" s="499"/>
      <c r="O32" s="485">
        <f t="shared" si="7"/>
        <v>0</v>
      </c>
      <c r="P32" s="499"/>
      <c r="Q32" s="499"/>
      <c r="R32" s="500"/>
      <c r="S32" s="487">
        <f t="shared" si="12"/>
        <v>1</v>
      </c>
      <c r="T32" s="487"/>
      <c r="U32" s="487">
        <f t="shared" si="13"/>
        <v>1</v>
      </c>
      <c r="V32" s="488">
        <f t="shared" si="8"/>
        <v>0</v>
      </c>
    </row>
    <row r="33" spans="1:22" s="496" customFormat="1" ht="23.25" customHeight="1" x14ac:dyDescent="0.25">
      <c r="A33" s="373">
        <v>20</v>
      </c>
      <c r="B33" s="498" t="s">
        <v>513</v>
      </c>
      <c r="C33" s="485">
        <f t="shared" si="3"/>
        <v>10532956737</v>
      </c>
      <c r="D33" s="499"/>
      <c r="E33" s="499">
        <v>10532956737</v>
      </c>
      <c r="F33" s="485">
        <f t="shared" si="4"/>
        <v>0</v>
      </c>
      <c r="G33" s="499"/>
      <c r="H33" s="499"/>
      <c r="I33" s="485">
        <f t="shared" ref="I33:I38" si="14">J33+K33+L33</f>
        <v>10532956737</v>
      </c>
      <c r="J33" s="499"/>
      <c r="K33" s="499">
        <v>10532956737</v>
      </c>
      <c r="L33" s="485">
        <f t="shared" si="6"/>
        <v>0</v>
      </c>
      <c r="M33" s="499"/>
      <c r="N33" s="499"/>
      <c r="O33" s="485">
        <f t="shared" si="7"/>
        <v>0</v>
      </c>
      <c r="P33" s="499"/>
      <c r="Q33" s="499"/>
      <c r="R33" s="500"/>
      <c r="S33" s="487">
        <f t="shared" si="12"/>
        <v>1</v>
      </c>
      <c r="T33" s="487"/>
      <c r="U33" s="487">
        <f t="shared" si="13"/>
        <v>1</v>
      </c>
      <c r="V33" s="488">
        <f t="shared" si="8"/>
        <v>0</v>
      </c>
    </row>
    <row r="34" spans="1:22" s="496" customFormat="1" ht="23.25" customHeight="1" x14ac:dyDescent="0.25">
      <c r="A34" s="373">
        <v>21</v>
      </c>
      <c r="B34" s="498" t="s">
        <v>514</v>
      </c>
      <c r="C34" s="485">
        <f t="shared" si="3"/>
        <v>9848211067</v>
      </c>
      <c r="D34" s="499"/>
      <c r="E34" s="499">
        <v>9848211067</v>
      </c>
      <c r="F34" s="485">
        <f t="shared" si="4"/>
        <v>0</v>
      </c>
      <c r="G34" s="499"/>
      <c r="H34" s="499"/>
      <c r="I34" s="485">
        <f t="shared" si="14"/>
        <v>9848211067</v>
      </c>
      <c r="J34" s="499"/>
      <c r="K34" s="499">
        <v>9848211067</v>
      </c>
      <c r="L34" s="485">
        <f t="shared" si="6"/>
        <v>0</v>
      </c>
      <c r="M34" s="499"/>
      <c r="N34" s="499"/>
      <c r="O34" s="485">
        <f t="shared" si="7"/>
        <v>0</v>
      </c>
      <c r="P34" s="499"/>
      <c r="Q34" s="499"/>
      <c r="R34" s="500"/>
      <c r="S34" s="487">
        <f t="shared" si="12"/>
        <v>1</v>
      </c>
      <c r="T34" s="487"/>
      <c r="U34" s="487">
        <f t="shared" si="13"/>
        <v>1</v>
      </c>
      <c r="V34" s="488">
        <f t="shared" si="8"/>
        <v>0</v>
      </c>
    </row>
    <row r="35" spans="1:22" s="496" customFormat="1" ht="23.25" customHeight="1" x14ac:dyDescent="0.25">
      <c r="A35" s="373">
        <v>22</v>
      </c>
      <c r="B35" s="498" t="s">
        <v>515</v>
      </c>
      <c r="C35" s="485">
        <f t="shared" si="3"/>
        <v>18144484003</v>
      </c>
      <c r="D35" s="499"/>
      <c r="E35" s="499">
        <v>18144484003</v>
      </c>
      <c r="F35" s="485">
        <f t="shared" si="4"/>
        <v>0</v>
      </c>
      <c r="G35" s="499"/>
      <c r="H35" s="499"/>
      <c r="I35" s="485">
        <f t="shared" si="14"/>
        <v>18144484003</v>
      </c>
      <c r="J35" s="499"/>
      <c r="K35" s="499">
        <v>18144484003</v>
      </c>
      <c r="L35" s="485">
        <f t="shared" si="6"/>
        <v>0</v>
      </c>
      <c r="M35" s="499"/>
      <c r="N35" s="499"/>
      <c r="O35" s="485">
        <f t="shared" si="7"/>
        <v>0</v>
      </c>
      <c r="P35" s="499"/>
      <c r="Q35" s="499"/>
      <c r="R35" s="500"/>
      <c r="S35" s="487">
        <f t="shared" si="12"/>
        <v>1</v>
      </c>
      <c r="T35" s="487"/>
      <c r="U35" s="487">
        <f t="shared" si="13"/>
        <v>1</v>
      </c>
      <c r="V35" s="488">
        <f t="shared" si="8"/>
        <v>0</v>
      </c>
    </row>
    <row r="36" spans="1:22" s="496" customFormat="1" ht="23.25" customHeight="1" x14ac:dyDescent="0.25">
      <c r="A36" s="373">
        <v>23</v>
      </c>
      <c r="B36" s="498" t="s">
        <v>516</v>
      </c>
      <c r="C36" s="485">
        <f t="shared" si="3"/>
        <v>7028392331</v>
      </c>
      <c r="D36" s="499"/>
      <c r="E36" s="499">
        <v>7028392331</v>
      </c>
      <c r="F36" s="485">
        <f t="shared" si="4"/>
        <v>0</v>
      </c>
      <c r="G36" s="499"/>
      <c r="H36" s="499"/>
      <c r="I36" s="485">
        <f t="shared" si="14"/>
        <v>7028392331</v>
      </c>
      <c r="J36" s="499"/>
      <c r="K36" s="499">
        <v>7028392331</v>
      </c>
      <c r="L36" s="485">
        <f t="shared" si="6"/>
        <v>0</v>
      </c>
      <c r="M36" s="499"/>
      <c r="N36" s="499"/>
      <c r="O36" s="485">
        <f t="shared" si="7"/>
        <v>0</v>
      </c>
      <c r="P36" s="499"/>
      <c r="Q36" s="499"/>
      <c r="R36" s="500"/>
      <c r="S36" s="487">
        <f t="shared" si="12"/>
        <v>1</v>
      </c>
      <c r="T36" s="487"/>
      <c r="U36" s="487">
        <f t="shared" si="13"/>
        <v>1</v>
      </c>
      <c r="V36" s="488">
        <f t="shared" si="8"/>
        <v>0</v>
      </c>
    </row>
    <row r="37" spans="1:22" s="496" customFormat="1" ht="23.25" customHeight="1" x14ac:dyDescent="0.25">
      <c r="A37" s="373">
        <v>24</v>
      </c>
      <c r="B37" s="498" t="s">
        <v>517</v>
      </c>
      <c r="C37" s="485">
        <f t="shared" si="3"/>
        <v>7404857947</v>
      </c>
      <c r="D37" s="499"/>
      <c r="E37" s="499">
        <v>7404857947</v>
      </c>
      <c r="F37" s="485">
        <f t="shared" si="4"/>
        <v>0</v>
      </c>
      <c r="G37" s="499"/>
      <c r="H37" s="499"/>
      <c r="I37" s="485">
        <f t="shared" si="14"/>
        <v>7404857947</v>
      </c>
      <c r="J37" s="499"/>
      <c r="K37" s="499">
        <v>7404857947</v>
      </c>
      <c r="L37" s="485">
        <f t="shared" si="6"/>
        <v>0</v>
      </c>
      <c r="M37" s="499"/>
      <c r="N37" s="499"/>
      <c r="O37" s="485">
        <f t="shared" si="7"/>
        <v>0</v>
      </c>
      <c r="P37" s="499"/>
      <c r="Q37" s="499"/>
      <c r="R37" s="500"/>
      <c r="S37" s="487">
        <f t="shared" si="12"/>
        <v>1</v>
      </c>
      <c r="T37" s="487"/>
      <c r="U37" s="487">
        <f t="shared" si="13"/>
        <v>1</v>
      </c>
      <c r="V37" s="488">
        <f t="shared" si="8"/>
        <v>0</v>
      </c>
    </row>
    <row r="38" spans="1:22" s="496" customFormat="1" ht="23.25" customHeight="1" x14ac:dyDescent="0.25">
      <c r="A38" s="373">
        <v>25</v>
      </c>
      <c r="B38" s="498" t="s">
        <v>518</v>
      </c>
      <c r="C38" s="485">
        <f t="shared" si="3"/>
        <v>5185256380</v>
      </c>
      <c r="D38" s="499"/>
      <c r="E38" s="499">
        <v>5185256380</v>
      </c>
      <c r="F38" s="485">
        <f t="shared" si="4"/>
        <v>0</v>
      </c>
      <c r="G38" s="499"/>
      <c r="H38" s="499"/>
      <c r="I38" s="485">
        <f t="shared" si="14"/>
        <v>5185256380</v>
      </c>
      <c r="J38" s="499"/>
      <c r="K38" s="499">
        <v>5185256380</v>
      </c>
      <c r="L38" s="485">
        <f t="shared" si="6"/>
        <v>0</v>
      </c>
      <c r="M38" s="499"/>
      <c r="N38" s="499"/>
      <c r="O38" s="499"/>
      <c r="P38" s="499"/>
      <c r="Q38" s="499"/>
      <c r="R38" s="500"/>
      <c r="S38" s="487">
        <f t="shared" si="12"/>
        <v>1</v>
      </c>
      <c r="T38" s="487"/>
      <c r="U38" s="487">
        <f t="shared" si="13"/>
        <v>1</v>
      </c>
      <c r="V38" s="488">
        <f t="shared" si="8"/>
        <v>0</v>
      </c>
    </row>
    <row r="39" spans="1:22" s="502" customFormat="1" ht="23.25" customHeight="1" x14ac:dyDescent="0.25">
      <c r="A39" s="273" t="s">
        <v>89</v>
      </c>
      <c r="B39" s="274" t="s">
        <v>519</v>
      </c>
      <c r="C39" s="478">
        <f>SUM(C40:C41)</f>
        <v>64486950</v>
      </c>
      <c r="D39" s="478">
        <f t="shared" ref="D39:R39" si="15">SUM(D40:D41)</f>
        <v>0</v>
      </c>
      <c r="E39" s="478">
        <f t="shared" si="15"/>
        <v>64486950</v>
      </c>
      <c r="F39" s="478">
        <f t="shared" si="15"/>
        <v>0</v>
      </c>
      <c r="G39" s="478">
        <f t="shared" si="15"/>
        <v>0</v>
      </c>
      <c r="H39" s="478">
        <f t="shared" si="15"/>
        <v>0</v>
      </c>
      <c r="I39" s="478">
        <f t="shared" si="15"/>
        <v>172183506</v>
      </c>
      <c r="J39" s="478">
        <f t="shared" si="15"/>
        <v>0</v>
      </c>
      <c r="K39" s="478">
        <f t="shared" si="15"/>
        <v>172183506</v>
      </c>
      <c r="L39" s="478">
        <f t="shared" si="15"/>
        <v>0</v>
      </c>
      <c r="M39" s="478">
        <f t="shared" si="15"/>
        <v>0</v>
      </c>
      <c r="N39" s="478">
        <f t="shared" si="15"/>
        <v>0</v>
      </c>
      <c r="O39" s="478">
        <f t="shared" si="15"/>
        <v>0</v>
      </c>
      <c r="P39" s="478">
        <f t="shared" si="15"/>
        <v>0</v>
      </c>
      <c r="Q39" s="478">
        <f t="shared" si="15"/>
        <v>0</v>
      </c>
      <c r="R39" s="478">
        <f t="shared" si="15"/>
        <v>0</v>
      </c>
      <c r="S39" s="479">
        <f t="shared" si="12"/>
        <v>2.6700519407414989</v>
      </c>
      <c r="T39" s="501"/>
      <c r="U39" s="479">
        <f t="shared" si="13"/>
        <v>2.6700519407414989</v>
      </c>
      <c r="V39" s="480">
        <f t="shared" si="8"/>
        <v>-107696556</v>
      </c>
    </row>
    <row r="40" spans="1:22" s="496" customFormat="1" ht="23.25" customHeight="1" x14ac:dyDescent="0.25">
      <c r="A40" s="503">
        <v>1</v>
      </c>
      <c r="B40" s="518" t="s">
        <v>496</v>
      </c>
      <c r="C40" s="485">
        <f t="shared" si="3"/>
        <v>64486950</v>
      </c>
      <c r="D40" s="499"/>
      <c r="E40" s="485">
        <v>64486950</v>
      </c>
      <c r="F40" s="485"/>
      <c r="G40" s="504"/>
      <c r="H40" s="504"/>
      <c r="I40" s="485">
        <f>J40+K40+L40+O40+Q40</f>
        <v>64486950</v>
      </c>
      <c r="J40" s="499"/>
      <c r="K40" s="485">
        <v>64486950</v>
      </c>
      <c r="L40" s="485">
        <f t="shared" ref="L40:L45" si="16">M40+N40</f>
        <v>0</v>
      </c>
      <c r="M40" s="499"/>
      <c r="N40" s="499"/>
      <c r="O40" s="499"/>
      <c r="P40" s="499"/>
      <c r="Q40" s="499"/>
      <c r="R40" s="500"/>
      <c r="S40" s="487">
        <f t="shared" si="12"/>
        <v>1</v>
      </c>
      <c r="T40" s="487"/>
      <c r="U40" s="487">
        <f t="shared" si="13"/>
        <v>1</v>
      </c>
      <c r="V40" s="488">
        <f t="shared" si="8"/>
        <v>0</v>
      </c>
    </row>
    <row r="41" spans="1:22" s="496" customFormat="1" ht="74.45" customHeight="1" x14ac:dyDescent="0.25">
      <c r="A41" s="503">
        <v>2</v>
      </c>
      <c r="B41" s="517" t="s">
        <v>502</v>
      </c>
      <c r="C41" s="485">
        <f t="shared" si="3"/>
        <v>0</v>
      </c>
      <c r="D41" s="499"/>
      <c r="E41" s="485"/>
      <c r="F41" s="485"/>
      <c r="G41" s="504"/>
      <c r="H41" s="504"/>
      <c r="I41" s="485">
        <f>J41+K41+L41+O41+Q41</f>
        <v>107696556</v>
      </c>
      <c r="J41" s="499"/>
      <c r="K41" s="485">
        <v>107696556</v>
      </c>
      <c r="L41" s="485"/>
      <c r="M41" s="499"/>
      <c r="N41" s="499"/>
      <c r="O41" s="499"/>
      <c r="P41" s="499"/>
      <c r="Q41" s="499"/>
      <c r="R41" s="500"/>
      <c r="S41" s="487"/>
      <c r="T41" s="487"/>
      <c r="U41" s="487"/>
      <c r="V41" s="488"/>
    </row>
    <row r="42" spans="1:22" s="502" customFormat="1" ht="35.25" customHeight="1" x14ac:dyDescent="0.25">
      <c r="A42" s="273" t="s">
        <v>99</v>
      </c>
      <c r="B42" s="274" t="s">
        <v>520</v>
      </c>
      <c r="C42" s="478">
        <f>D42+E42+F42</f>
        <v>0</v>
      </c>
      <c r="D42" s="505"/>
      <c r="E42" s="506"/>
      <c r="F42" s="478">
        <f>SUM(G42:H42)</f>
        <v>0</v>
      </c>
      <c r="G42" s="506"/>
      <c r="H42" s="506"/>
      <c r="I42" s="505">
        <f>SUM(J42:R42)-M42-N42</f>
        <v>0</v>
      </c>
      <c r="J42" s="505"/>
      <c r="K42" s="505"/>
      <c r="L42" s="478">
        <f t="shared" si="16"/>
        <v>0</v>
      </c>
      <c r="M42" s="505"/>
      <c r="N42" s="505"/>
      <c r="O42" s="505"/>
      <c r="P42" s="505">
        <f>[4]B53!G47</f>
        <v>0</v>
      </c>
      <c r="Q42" s="505"/>
      <c r="R42" s="507"/>
      <c r="S42" s="479"/>
      <c r="T42" s="479"/>
      <c r="U42" s="479"/>
      <c r="V42" s="488">
        <f t="shared" si="8"/>
        <v>0</v>
      </c>
    </row>
    <row r="43" spans="1:22" s="502" customFormat="1" ht="35.25" customHeight="1" x14ac:dyDescent="0.25">
      <c r="A43" s="273" t="s">
        <v>101</v>
      </c>
      <c r="B43" s="274" t="s">
        <v>521</v>
      </c>
      <c r="C43" s="485">
        <f>D43+E43+F43</f>
        <v>0</v>
      </c>
      <c r="D43" s="505"/>
      <c r="E43" s="505"/>
      <c r="F43" s="485">
        <f>SUM(G43:H43)</f>
        <v>0</v>
      </c>
      <c r="G43" s="505"/>
      <c r="H43" s="505"/>
      <c r="I43" s="505">
        <f>SUM(J43:R43)-M43-N43</f>
        <v>0</v>
      </c>
      <c r="J43" s="505"/>
      <c r="K43" s="505">
        <f>[4]B53!G27</f>
        <v>0</v>
      </c>
      <c r="L43" s="478">
        <f t="shared" si="16"/>
        <v>0</v>
      </c>
      <c r="M43" s="505"/>
      <c r="N43" s="505"/>
      <c r="O43" s="505"/>
      <c r="P43" s="505"/>
      <c r="Q43" s="505"/>
      <c r="R43" s="507"/>
      <c r="S43" s="479"/>
      <c r="T43" s="479"/>
      <c r="U43" s="479"/>
      <c r="V43" s="488">
        <f t="shared" si="8"/>
        <v>0</v>
      </c>
    </row>
    <row r="44" spans="1:22" s="502" customFormat="1" ht="35.25" customHeight="1" x14ac:dyDescent="0.25">
      <c r="A44" s="273" t="s">
        <v>105</v>
      </c>
      <c r="B44" s="274" t="s">
        <v>522</v>
      </c>
      <c r="C44" s="485">
        <f>D44+E44+F44</f>
        <v>0</v>
      </c>
      <c r="D44" s="505"/>
      <c r="E44" s="505"/>
      <c r="F44" s="485">
        <f>SUM(G44:H44)</f>
        <v>0</v>
      </c>
      <c r="G44" s="505"/>
      <c r="H44" s="505"/>
      <c r="I44" s="505">
        <f>SUM(J44:R44)-M44-N44</f>
        <v>0</v>
      </c>
      <c r="J44" s="505"/>
      <c r="K44" s="505"/>
      <c r="L44" s="478">
        <f t="shared" si="16"/>
        <v>0</v>
      </c>
      <c r="M44" s="505"/>
      <c r="N44" s="505"/>
      <c r="O44" s="505">
        <f>[4]B53!G46</f>
        <v>0</v>
      </c>
      <c r="P44" s="505"/>
      <c r="Q44" s="505"/>
      <c r="R44" s="507"/>
      <c r="S44" s="479"/>
      <c r="T44" s="479"/>
      <c r="U44" s="479"/>
      <c r="V44" s="488">
        <f t="shared" si="8"/>
        <v>0</v>
      </c>
    </row>
    <row r="45" spans="1:22" s="502" customFormat="1" ht="30" customHeight="1" x14ac:dyDescent="0.25">
      <c r="A45" s="273" t="s">
        <v>523</v>
      </c>
      <c r="B45" s="274" t="s">
        <v>171</v>
      </c>
      <c r="C45" s="485">
        <f>D45+E45+F45</f>
        <v>0</v>
      </c>
      <c r="D45" s="505"/>
      <c r="E45" s="505"/>
      <c r="F45" s="485">
        <f>SUM(G45:H45)</f>
        <v>0</v>
      </c>
      <c r="G45" s="505"/>
      <c r="H45" s="505"/>
      <c r="I45" s="505">
        <f>SUM(J45:R45)-M45-N45</f>
        <v>0</v>
      </c>
      <c r="J45" s="505"/>
      <c r="K45" s="505"/>
      <c r="L45" s="478">
        <f t="shared" si="16"/>
        <v>0</v>
      </c>
      <c r="M45" s="505"/>
      <c r="N45" s="505"/>
      <c r="O45" s="505"/>
      <c r="P45" s="505"/>
      <c r="Q45" s="505">
        <f>[4]B53!G34</f>
        <v>0</v>
      </c>
      <c r="R45" s="507"/>
      <c r="S45" s="479"/>
      <c r="T45" s="479"/>
      <c r="U45" s="479"/>
      <c r="V45" s="488">
        <f t="shared" si="8"/>
        <v>0</v>
      </c>
    </row>
    <row r="46" spans="1:22" x14ac:dyDescent="0.25">
      <c r="O46" s="510"/>
      <c r="P46" s="511"/>
    </row>
    <row r="48" spans="1:22" x14ac:dyDescent="0.25">
      <c r="I48" s="711"/>
      <c r="J48" s="711"/>
    </row>
    <row r="49" spans="5:5" x14ac:dyDescent="0.25">
      <c r="E49" s="512"/>
    </row>
  </sheetData>
  <mergeCells count="31">
    <mergeCell ref="A1:U1"/>
    <mergeCell ref="Q6:Q7"/>
    <mergeCell ref="R6:R7"/>
    <mergeCell ref="S6:S7"/>
    <mergeCell ref="T6:T7"/>
    <mergeCell ref="U6:U7"/>
    <mergeCell ref="O6:O7"/>
    <mergeCell ref="P6:P7"/>
    <mergeCell ref="R4:U4"/>
    <mergeCell ref="A5:A7"/>
    <mergeCell ref="B5:B7"/>
    <mergeCell ref="C5:H5"/>
    <mergeCell ref="I5:R5"/>
    <mergeCell ref="S5:U5"/>
    <mergeCell ref="C6:C7"/>
    <mergeCell ref="D6:D7"/>
    <mergeCell ref="I48:J48"/>
    <mergeCell ref="I6:I7"/>
    <mergeCell ref="J6:J7"/>
    <mergeCell ref="K6:K7"/>
    <mergeCell ref="L6:N6"/>
    <mergeCell ref="E6:E7"/>
    <mergeCell ref="F6:H6"/>
    <mergeCell ref="A2:U2"/>
    <mergeCell ref="A3:U3"/>
    <mergeCell ref="C4:D4"/>
    <mergeCell ref="F4:G4"/>
    <mergeCell ref="H4:I4"/>
    <mergeCell ref="K4:L4"/>
    <mergeCell ref="N4:O4"/>
    <mergeCell ref="P4:Q4"/>
  </mergeCells>
  <printOptions horizontalCentered="1"/>
  <pageMargins left="0.11811023622047245" right="0.11811023622047245" top="0.15748031496062992" bottom="0.15748031496062992" header="0.31496062992125984" footer="0.31496062992125984"/>
  <pageSetup paperSize="9" scale="65" orientation="landscape" verticalDpi="0"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H23"/>
  <sheetViews>
    <sheetView topLeftCell="A4" workbookViewId="0">
      <selection activeCell="G7" sqref="G7:G9"/>
    </sheetView>
  </sheetViews>
  <sheetFormatPr defaultColWidth="9" defaultRowHeight="15" x14ac:dyDescent="0.25"/>
  <cols>
    <col min="1" max="1" width="2.85546875" style="548" customWidth="1"/>
    <col min="2" max="2" width="17.42578125" style="548" customWidth="1"/>
    <col min="3" max="3" width="9.140625" style="20" customWidth="1"/>
    <col min="4" max="4" width="8.85546875" style="2" customWidth="1"/>
    <col min="5" max="5" width="7.85546875" style="2" customWidth="1"/>
    <col min="6" max="6" width="8.85546875" style="2" customWidth="1"/>
    <col min="7" max="7" width="6.5703125" style="2" customWidth="1"/>
    <col min="8" max="8" width="8.42578125" style="2" customWidth="1"/>
    <col min="9" max="9" width="7.42578125" style="2" customWidth="1"/>
    <col min="10" max="11" width="6" style="2" customWidth="1"/>
    <col min="12" max="12" width="6" style="2" hidden="1" customWidth="1"/>
    <col min="13" max="14" width="6.85546875" style="2" customWidth="1"/>
    <col min="15" max="15" width="8.140625" style="2" customWidth="1"/>
    <col min="16" max="17" width="7.85546875" style="2" customWidth="1"/>
    <col min="18" max="18" width="4" style="2" hidden="1" customWidth="1"/>
    <col min="19" max="20" width="7.42578125" style="2" customWidth="1"/>
    <col min="21" max="21" width="4" style="2" hidden="1" customWidth="1"/>
    <col min="22" max="22" width="8.140625" style="2" customWidth="1"/>
    <col min="23" max="24" width="8.42578125" style="2" customWidth="1"/>
    <col min="25" max="25" width="3.5703125" style="2" hidden="1" customWidth="1"/>
    <col min="26" max="26" width="7.5703125" style="2" customWidth="1"/>
    <col min="27" max="27" width="8.42578125" style="2" customWidth="1"/>
    <col min="28" max="28" width="3.85546875" style="2" hidden="1" customWidth="1"/>
    <col min="29" max="30" width="4" style="2" customWidth="1"/>
    <col min="31" max="31" width="4.42578125" style="2" customWidth="1"/>
    <col min="32" max="32" width="15.42578125" style="2" customWidth="1"/>
    <col min="33" max="33" width="16" style="2" customWidth="1"/>
    <col min="34" max="256" width="9" style="2"/>
    <col min="257" max="257" width="2.85546875" style="2" customWidth="1"/>
    <col min="258" max="258" width="17.42578125" style="2" customWidth="1"/>
    <col min="259" max="259" width="9.140625" style="2" customWidth="1"/>
    <col min="260" max="260" width="8.85546875" style="2" customWidth="1"/>
    <col min="261" max="261" width="7.85546875" style="2" customWidth="1"/>
    <col min="262" max="262" width="8.85546875" style="2" customWidth="1"/>
    <col min="263" max="263" width="6.5703125" style="2" customWidth="1"/>
    <col min="264" max="264" width="8.42578125" style="2" customWidth="1"/>
    <col min="265" max="265" width="7.42578125" style="2" customWidth="1"/>
    <col min="266" max="267" width="6" style="2" customWidth="1"/>
    <col min="268" max="268" width="0" style="2" hidden="1" customWidth="1"/>
    <col min="269" max="270" width="6.85546875" style="2" customWidth="1"/>
    <col min="271" max="271" width="8.140625" style="2" customWidth="1"/>
    <col min="272" max="273" width="7.85546875" style="2" customWidth="1"/>
    <col min="274" max="274" width="0" style="2" hidden="1" customWidth="1"/>
    <col min="275" max="276" width="7.42578125" style="2" customWidth="1"/>
    <col min="277" max="277" width="0" style="2" hidden="1" customWidth="1"/>
    <col min="278" max="278" width="8.140625" style="2" customWidth="1"/>
    <col min="279" max="280" width="8.42578125" style="2" customWidth="1"/>
    <col min="281" max="281" width="0" style="2" hidden="1" customWidth="1"/>
    <col min="282" max="282" width="7.5703125" style="2" customWidth="1"/>
    <col min="283" max="283" width="8.42578125" style="2" customWidth="1"/>
    <col min="284" max="284" width="0" style="2" hidden="1" customWidth="1"/>
    <col min="285" max="286" width="4" style="2" customWidth="1"/>
    <col min="287" max="287" width="4.42578125" style="2" customWidth="1"/>
    <col min="288" max="288" width="15.42578125" style="2" customWidth="1"/>
    <col min="289" max="289" width="16" style="2" customWidth="1"/>
    <col min="290" max="512" width="9" style="2"/>
    <col min="513" max="513" width="2.85546875" style="2" customWidth="1"/>
    <col min="514" max="514" width="17.42578125" style="2" customWidth="1"/>
    <col min="515" max="515" width="9.140625" style="2" customWidth="1"/>
    <col min="516" max="516" width="8.85546875" style="2" customWidth="1"/>
    <col min="517" max="517" width="7.85546875" style="2" customWidth="1"/>
    <col min="518" max="518" width="8.85546875" style="2" customWidth="1"/>
    <col min="519" max="519" width="6.5703125" style="2" customWidth="1"/>
    <col min="520" max="520" width="8.42578125" style="2" customWidth="1"/>
    <col min="521" max="521" width="7.42578125" style="2" customWidth="1"/>
    <col min="522" max="523" width="6" style="2" customWidth="1"/>
    <col min="524" max="524" width="0" style="2" hidden="1" customWidth="1"/>
    <col min="525" max="526" width="6.85546875" style="2" customWidth="1"/>
    <col min="527" max="527" width="8.140625" style="2" customWidth="1"/>
    <col min="528" max="529" width="7.85546875" style="2" customWidth="1"/>
    <col min="530" max="530" width="0" style="2" hidden="1" customWidth="1"/>
    <col min="531" max="532" width="7.42578125" style="2" customWidth="1"/>
    <col min="533" max="533" width="0" style="2" hidden="1" customWidth="1"/>
    <col min="534" max="534" width="8.140625" style="2" customWidth="1"/>
    <col min="535" max="536" width="8.42578125" style="2" customWidth="1"/>
    <col min="537" max="537" width="0" style="2" hidden="1" customWidth="1"/>
    <col min="538" max="538" width="7.5703125" style="2" customWidth="1"/>
    <col min="539" max="539" width="8.42578125" style="2" customWidth="1"/>
    <col min="540" max="540" width="0" style="2" hidden="1" customWidth="1"/>
    <col min="541" max="542" width="4" style="2" customWidth="1"/>
    <col min="543" max="543" width="4.42578125" style="2" customWidth="1"/>
    <col min="544" max="544" width="15.42578125" style="2" customWidth="1"/>
    <col min="545" max="545" width="16" style="2" customWidth="1"/>
    <col min="546" max="768" width="9" style="2"/>
    <col min="769" max="769" width="2.85546875" style="2" customWidth="1"/>
    <col min="770" max="770" width="17.42578125" style="2" customWidth="1"/>
    <col min="771" max="771" width="9.140625" style="2" customWidth="1"/>
    <col min="772" max="772" width="8.85546875" style="2" customWidth="1"/>
    <col min="773" max="773" width="7.85546875" style="2" customWidth="1"/>
    <col min="774" max="774" width="8.85546875" style="2" customWidth="1"/>
    <col min="775" max="775" width="6.5703125" style="2" customWidth="1"/>
    <col min="776" max="776" width="8.42578125" style="2" customWidth="1"/>
    <col min="777" max="777" width="7.42578125" style="2" customWidth="1"/>
    <col min="778" max="779" width="6" style="2" customWidth="1"/>
    <col min="780" max="780" width="0" style="2" hidden="1" customWidth="1"/>
    <col min="781" max="782" width="6.85546875" style="2" customWidth="1"/>
    <col min="783" max="783" width="8.140625" style="2" customWidth="1"/>
    <col min="784" max="785" width="7.85546875" style="2" customWidth="1"/>
    <col min="786" max="786" width="0" style="2" hidden="1" customWidth="1"/>
    <col min="787" max="788" width="7.42578125" style="2" customWidth="1"/>
    <col min="789" max="789" width="0" style="2" hidden="1" customWidth="1"/>
    <col min="790" max="790" width="8.140625" style="2" customWidth="1"/>
    <col min="791" max="792" width="8.42578125" style="2" customWidth="1"/>
    <col min="793" max="793" width="0" style="2" hidden="1" customWidth="1"/>
    <col min="794" max="794" width="7.5703125" style="2" customWidth="1"/>
    <col min="795" max="795" width="8.42578125" style="2" customWidth="1"/>
    <col min="796" max="796" width="0" style="2" hidden="1" customWidth="1"/>
    <col min="797" max="798" width="4" style="2" customWidth="1"/>
    <col min="799" max="799" width="4.42578125" style="2" customWidth="1"/>
    <col min="800" max="800" width="15.42578125" style="2" customWidth="1"/>
    <col min="801" max="801" width="16" style="2" customWidth="1"/>
    <col min="802" max="1024" width="9" style="2"/>
    <col min="1025" max="1025" width="2.85546875" style="2" customWidth="1"/>
    <col min="1026" max="1026" width="17.42578125" style="2" customWidth="1"/>
    <col min="1027" max="1027" width="9.140625" style="2" customWidth="1"/>
    <col min="1028" max="1028" width="8.85546875" style="2" customWidth="1"/>
    <col min="1029" max="1029" width="7.85546875" style="2" customWidth="1"/>
    <col min="1030" max="1030" width="8.85546875" style="2" customWidth="1"/>
    <col min="1031" max="1031" width="6.5703125" style="2" customWidth="1"/>
    <col min="1032" max="1032" width="8.42578125" style="2" customWidth="1"/>
    <col min="1033" max="1033" width="7.42578125" style="2" customWidth="1"/>
    <col min="1034" max="1035" width="6" style="2" customWidth="1"/>
    <col min="1036" max="1036" width="0" style="2" hidden="1" customWidth="1"/>
    <col min="1037" max="1038" width="6.85546875" style="2" customWidth="1"/>
    <col min="1039" max="1039" width="8.140625" style="2" customWidth="1"/>
    <col min="1040" max="1041" width="7.85546875" style="2" customWidth="1"/>
    <col min="1042" max="1042" width="0" style="2" hidden="1" customWidth="1"/>
    <col min="1043" max="1044" width="7.42578125" style="2" customWidth="1"/>
    <col min="1045" max="1045" width="0" style="2" hidden="1" customWidth="1"/>
    <col min="1046" max="1046" width="8.140625" style="2" customWidth="1"/>
    <col min="1047" max="1048" width="8.42578125" style="2" customWidth="1"/>
    <col min="1049" max="1049" width="0" style="2" hidden="1" customWidth="1"/>
    <col min="1050" max="1050" width="7.5703125" style="2" customWidth="1"/>
    <col min="1051" max="1051" width="8.42578125" style="2" customWidth="1"/>
    <col min="1052" max="1052" width="0" style="2" hidden="1" customWidth="1"/>
    <col min="1053" max="1054" width="4" style="2" customWidth="1"/>
    <col min="1055" max="1055" width="4.42578125" style="2" customWidth="1"/>
    <col min="1056" max="1056" width="15.42578125" style="2" customWidth="1"/>
    <col min="1057" max="1057" width="16" style="2" customWidth="1"/>
    <col min="1058" max="1280" width="9" style="2"/>
    <col min="1281" max="1281" width="2.85546875" style="2" customWidth="1"/>
    <col min="1282" max="1282" width="17.42578125" style="2" customWidth="1"/>
    <col min="1283" max="1283" width="9.140625" style="2" customWidth="1"/>
    <col min="1284" max="1284" width="8.85546875" style="2" customWidth="1"/>
    <col min="1285" max="1285" width="7.85546875" style="2" customWidth="1"/>
    <col min="1286" max="1286" width="8.85546875" style="2" customWidth="1"/>
    <col min="1287" max="1287" width="6.5703125" style="2" customWidth="1"/>
    <col min="1288" max="1288" width="8.42578125" style="2" customWidth="1"/>
    <col min="1289" max="1289" width="7.42578125" style="2" customWidth="1"/>
    <col min="1290" max="1291" width="6" style="2" customWidth="1"/>
    <col min="1292" max="1292" width="0" style="2" hidden="1" customWidth="1"/>
    <col min="1293" max="1294" width="6.85546875" style="2" customWidth="1"/>
    <col min="1295" max="1295" width="8.140625" style="2" customWidth="1"/>
    <col min="1296" max="1297" width="7.85546875" style="2" customWidth="1"/>
    <col min="1298" max="1298" width="0" style="2" hidden="1" customWidth="1"/>
    <col min="1299" max="1300" width="7.42578125" style="2" customWidth="1"/>
    <col min="1301" max="1301" width="0" style="2" hidden="1" customWidth="1"/>
    <col min="1302" max="1302" width="8.140625" style="2" customWidth="1"/>
    <col min="1303" max="1304" width="8.42578125" style="2" customWidth="1"/>
    <col min="1305" max="1305" width="0" style="2" hidden="1" customWidth="1"/>
    <col min="1306" max="1306" width="7.5703125" style="2" customWidth="1"/>
    <col min="1307" max="1307" width="8.42578125" style="2" customWidth="1"/>
    <col min="1308" max="1308" width="0" style="2" hidden="1" customWidth="1"/>
    <col min="1309" max="1310" width="4" style="2" customWidth="1"/>
    <col min="1311" max="1311" width="4.42578125" style="2" customWidth="1"/>
    <col min="1312" max="1312" width="15.42578125" style="2" customWidth="1"/>
    <col min="1313" max="1313" width="16" style="2" customWidth="1"/>
    <col min="1314" max="1536" width="9" style="2"/>
    <col min="1537" max="1537" width="2.85546875" style="2" customWidth="1"/>
    <col min="1538" max="1538" width="17.42578125" style="2" customWidth="1"/>
    <col min="1539" max="1539" width="9.140625" style="2" customWidth="1"/>
    <col min="1540" max="1540" width="8.85546875" style="2" customWidth="1"/>
    <col min="1541" max="1541" width="7.85546875" style="2" customWidth="1"/>
    <col min="1542" max="1542" width="8.85546875" style="2" customWidth="1"/>
    <col min="1543" max="1543" width="6.5703125" style="2" customWidth="1"/>
    <col min="1544" max="1544" width="8.42578125" style="2" customWidth="1"/>
    <col min="1545" max="1545" width="7.42578125" style="2" customWidth="1"/>
    <col min="1546" max="1547" width="6" style="2" customWidth="1"/>
    <col min="1548" max="1548" width="0" style="2" hidden="1" customWidth="1"/>
    <col min="1549" max="1550" width="6.85546875" style="2" customWidth="1"/>
    <col min="1551" max="1551" width="8.140625" style="2" customWidth="1"/>
    <col min="1552" max="1553" width="7.85546875" style="2" customWidth="1"/>
    <col min="1554" max="1554" width="0" style="2" hidden="1" customWidth="1"/>
    <col min="1555" max="1556" width="7.42578125" style="2" customWidth="1"/>
    <col min="1557" max="1557" width="0" style="2" hidden="1" customWidth="1"/>
    <col min="1558" max="1558" width="8.140625" style="2" customWidth="1"/>
    <col min="1559" max="1560" width="8.42578125" style="2" customWidth="1"/>
    <col min="1561" max="1561" width="0" style="2" hidden="1" customWidth="1"/>
    <col min="1562" max="1562" width="7.5703125" style="2" customWidth="1"/>
    <col min="1563" max="1563" width="8.42578125" style="2" customWidth="1"/>
    <col min="1564" max="1564" width="0" style="2" hidden="1" customWidth="1"/>
    <col min="1565" max="1566" width="4" style="2" customWidth="1"/>
    <col min="1567" max="1567" width="4.42578125" style="2" customWidth="1"/>
    <col min="1568" max="1568" width="15.42578125" style="2" customWidth="1"/>
    <col min="1569" max="1569" width="16" style="2" customWidth="1"/>
    <col min="1570" max="1792" width="9" style="2"/>
    <col min="1793" max="1793" width="2.85546875" style="2" customWidth="1"/>
    <col min="1794" max="1794" width="17.42578125" style="2" customWidth="1"/>
    <col min="1795" max="1795" width="9.140625" style="2" customWidth="1"/>
    <col min="1796" max="1796" width="8.85546875" style="2" customWidth="1"/>
    <col min="1797" max="1797" width="7.85546875" style="2" customWidth="1"/>
    <col min="1798" max="1798" width="8.85546875" style="2" customWidth="1"/>
    <col min="1799" max="1799" width="6.5703125" style="2" customWidth="1"/>
    <col min="1800" max="1800" width="8.42578125" style="2" customWidth="1"/>
    <col min="1801" max="1801" width="7.42578125" style="2" customWidth="1"/>
    <col min="1802" max="1803" width="6" style="2" customWidth="1"/>
    <col min="1804" max="1804" width="0" style="2" hidden="1" customWidth="1"/>
    <col min="1805" max="1806" width="6.85546875" style="2" customWidth="1"/>
    <col min="1807" max="1807" width="8.140625" style="2" customWidth="1"/>
    <col min="1808" max="1809" width="7.85546875" style="2" customWidth="1"/>
    <col min="1810" max="1810" width="0" style="2" hidden="1" customWidth="1"/>
    <col min="1811" max="1812" width="7.42578125" style="2" customWidth="1"/>
    <col min="1813" max="1813" width="0" style="2" hidden="1" customWidth="1"/>
    <col min="1814" max="1814" width="8.140625" style="2" customWidth="1"/>
    <col min="1815" max="1816" width="8.42578125" style="2" customWidth="1"/>
    <col min="1817" max="1817" width="0" style="2" hidden="1" customWidth="1"/>
    <col min="1818" max="1818" width="7.5703125" style="2" customWidth="1"/>
    <col min="1819" max="1819" width="8.42578125" style="2" customWidth="1"/>
    <col min="1820" max="1820" width="0" style="2" hidden="1" customWidth="1"/>
    <col min="1821" max="1822" width="4" style="2" customWidth="1"/>
    <col min="1823" max="1823" width="4.42578125" style="2" customWidth="1"/>
    <col min="1824" max="1824" width="15.42578125" style="2" customWidth="1"/>
    <col min="1825" max="1825" width="16" style="2" customWidth="1"/>
    <col min="1826" max="2048" width="9" style="2"/>
    <col min="2049" max="2049" width="2.85546875" style="2" customWidth="1"/>
    <col min="2050" max="2050" width="17.42578125" style="2" customWidth="1"/>
    <col min="2051" max="2051" width="9.140625" style="2" customWidth="1"/>
    <col min="2052" max="2052" width="8.85546875" style="2" customWidth="1"/>
    <col min="2053" max="2053" width="7.85546875" style="2" customWidth="1"/>
    <col min="2054" max="2054" width="8.85546875" style="2" customWidth="1"/>
    <col min="2055" max="2055" width="6.5703125" style="2" customWidth="1"/>
    <col min="2056" max="2056" width="8.42578125" style="2" customWidth="1"/>
    <col min="2057" max="2057" width="7.42578125" style="2" customWidth="1"/>
    <col min="2058" max="2059" width="6" style="2" customWidth="1"/>
    <col min="2060" max="2060" width="0" style="2" hidden="1" customWidth="1"/>
    <col min="2061" max="2062" width="6.85546875" style="2" customWidth="1"/>
    <col min="2063" max="2063" width="8.140625" style="2" customWidth="1"/>
    <col min="2064" max="2065" width="7.85546875" style="2" customWidth="1"/>
    <col min="2066" max="2066" width="0" style="2" hidden="1" customWidth="1"/>
    <col min="2067" max="2068" width="7.42578125" style="2" customWidth="1"/>
    <col min="2069" max="2069" width="0" style="2" hidden="1" customWidth="1"/>
    <col min="2070" max="2070" width="8.140625" style="2" customWidth="1"/>
    <col min="2071" max="2072" width="8.42578125" style="2" customWidth="1"/>
    <col min="2073" max="2073" width="0" style="2" hidden="1" customWidth="1"/>
    <col min="2074" max="2074" width="7.5703125" style="2" customWidth="1"/>
    <col min="2075" max="2075" width="8.42578125" style="2" customWidth="1"/>
    <col min="2076" max="2076" width="0" style="2" hidden="1" customWidth="1"/>
    <col min="2077" max="2078" width="4" style="2" customWidth="1"/>
    <col min="2079" max="2079" width="4.42578125" style="2" customWidth="1"/>
    <col min="2080" max="2080" width="15.42578125" style="2" customWidth="1"/>
    <col min="2081" max="2081" width="16" style="2" customWidth="1"/>
    <col min="2082" max="2304" width="9" style="2"/>
    <col min="2305" max="2305" width="2.85546875" style="2" customWidth="1"/>
    <col min="2306" max="2306" width="17.42578125" style="2" customWidth="1"/>
    <col min="2307" max="2307" width="9.140625" style="2" customWidth="1"/>
    <col min="2308" max="2308" width="8.85546875" style="2" customWidth="1"/>
    <col min="2309" max="2309" width="7.85546875" style="2" customWidth="1"/>
    <col min="2310" max="2310" width="8.85546875" style="2" customWidth="1"/>
    <col min="2311" max="2311" width="6.5703125" style="2" customWidth="1"/>
    <col min="2312" max="2312" width="8.42578125" style="2" customWidth="1"/>
    <col min="2313" max="2313" width="7.42578125" style="2" customWidth="1"/>
    <col min="2314" max="2315" width="6" style="2" customWidth="1"/>
    <col min="2316" max="2316" width="0" style="2" hidden="1" customWidth="1"/>
    <col min="2317" max="2318" width="6.85546875" style="2" customWidth="1"/>
    <col min="2319" max="2319" width="8.140625" style="2" customWidth="1"/>
    <col min="2320" max="2321" width="7.85546875" style="2" customWidth="1"/>
    <col min="2322" max="2322" width="0" style="2" hidden="1" customWidth="1"/>
    <col min="2323" max="2324" width="7.42578125" style="2" customWidth="1"/>
    <col min="2325" max="2325" width="0" style="2" hidden="1" customWidth="1"/>
    <col min="2326" max="2326" width="8.140625" style="2" customWidth="1"/>
    <col min="2327" max="2328" width="8.42578125" style="2" customWidth="1"/>
    <col min="2329" max="2329" width="0" style="2" hidden="1" customWidth="1"/>
    <col min="2330" max="2330" width="7.5703125" style="2" customWidth="1"/>
    <col min="2331" max="2331" width="8.42578125" style="2" customWidth="1"/>
    <col min="2332" max="2332" width="0" style="2" hidden="1" customWidth="1"/>
    <col min="2333" max="2334" width="4" style="2" customWidth="1"/>
    <col min="2335" max="2335" width="4.42578125" style="2" customWidth="1"/>
    <col min="2336" max="2336" width="15.42578125" style="2" customWidth="1"/>
    <col min="2337" max="2337" width="16" style="2" customWidth="1"/>
    <col min="2338" max="2560" width="9" style="2"/>
    <col min="2561" max="2561" width="2.85546875" style="2" customWidth="1"/>
    <col min="2562" max="2562" width="17.42578125" style="2" customWidth="1"/>
    <col min="2563" max="2563" width="9.140625" style="2" customWidth="1"/>
    <col min="2564" max="2564" width="8.85546875" style="2" customWidth="1"/>
    <col min="2565" max="2565" width="7.85546875" style="2" customWidth="1"/>
    <col min="2566" max="2566" width="8.85546875" style="2" customWidth="1"/>
    <col min="2567" max="2567" width="6.5703125" style="2" customWidth="1"/>
    <col min="2568" max="2568" width="8.42578125" style="2" customWidth="1"/>
    <col min="2569" max="2569" width="7.42578125" style="2" customWidth="1"/>
    <col min="2570" max="2571" width="6" style="2" customWidth="1"/>
    <col min="2572" max="2572" width="0" style="2" hidden="1" customWidth="1"/>
    <col min="2573" max="2574" width="6.85546875" style="2" customWidth="1"/>
    <col min="2575" max="2575" width="8.140625" style="2" customWidth="1"/>
    <col min="2576" max="2577" width="7.85546875" style="2" customWidth="1"/>
    <col min="2578" max="2578" width="0" style="2" hidden="1" customWidth="1"/>
    <col min="2579" max="2580" width="7.42578125" style="2" customWidth="1"/>
    <col min="2581" max="2581" width="0" style="2" hidden="1" customWidth="1"/>
    <col min="2582" max="2582" width="8.140625" style="2" customWidth="1"/>
    <col min="2583" max="2584" width="8.42578125" style="2" customWidth="1"/>
    <col min="2585" max="2585" width="0" style="2" hidden="1" customWidth="1"/>
    <col min="2586" max="2586" width="7.5703125" style="2" customWidth="1"/>
    <col min="2587" max="2587" width="8.42578125" style="2" customWidth="1"/>
    <col min="2588" max="2588" width="0" style="2" hidden="1" customWidth="1"/>
    <col min="2589" max="2590" width="4" style="2" customWidth="1"/>
    <col min="2591" max="2591" width="4.42578125" style="2" customWidth="1"/>
    <col min="2592" max="2592" width="15.42578125" style="2" customWidth="1"/>
    <col min="2593" max="2593" width="16" style="2" customWidth="1"/>
    <col min="2594" max="2816" width="9" style="2"/>
    <col min="2817" max="2817" width="2.85546875" style="2" customWidth="1"/>
    <col min="2818" max="2818" width="17.42578125" style="2" customWidth="1"/>
    <col min="2819" max="2819" width="9.140625" style="2" customWidth="1"/>
    <col min="2820" max="2820" width="8.85546875" style="2" customWidth="1"/>
    <col min="2821" max="2821" width="7.85546875" style="2" customWidth="1"/>
    <col min="2822" max="2822" width="8.85546875" style="2" customWidth="1"/>
    <col min="2823" max="2823" width="6.5703125" style="2" customWidth="1"/>
    <col min="2824" max="2824" width="8.42578125" style="2" customWidth="1"/>
    <col min="2825" max="2825" width="7.42578125" style="2" customWidth="1"/>
    <col min="2826" max="2827" width="6" style="2" customWidth="1"/>
    <col min="2828" max="2828" width="0" style="2" hidden="1" customWidth="1"/>
    <col min="2829" max="2830" width="6.85546875" style="2" customWidth="1"/>
    <col min="2831" max="2831" width="8.140625" style="2" customWidth="1"/>
    <col min="2832" max="2833" width="7.85546875" style="2" customWidth="1"/>
    <col min="2834" max="2834" width="0" style="2" hidden="1" customWidth="1"/>
    <col min="2835" max="2836" width="7.42578125" style="2" customWidth="1"/>
    <col min="2837" max="2837" width="0" style="2" hidden="1" customWidth="1"/>
    <col min="2838" max="2838" width="8.140625" style="2" customWidth="1"/>
    <col min="2839" max="2840" width="8.42578125" style="2" customWidth="1"/>
    <col min="2841" max="2841" width="0" style="2" hidden="1" customWidth="1"/>
    <col min="2842" max="2842" width="7.5703125" style="2" customWidth="1"/>
    <col min="2843" max="2843" width="8.42578125" style="2" customWidth="1"/>
    <col min="2844" max="2844" width="0" style="2" hidden="1" customWidth="1"/>
    <col min="2845" max="2846" width="4" style="2" customWidth="1"/>
    <col min="2847" max="2847" width="4.42578125" style="2" customWidth="1"/>
    <col min="2848" max="2848" width="15.42578125" style="2" customWidth="1"/>
    <col min="2849" max="2849" width="16" style="2" customWidth="1"/>
    <col min="2850" max="3072" width="9" style="2"/>
    <col min="3073" max="3073" width="2.85546875" style="2" customWidth="1"/>
    <col min="3074" max="3074" width="17.42578125" style="2" customWidth="1"/>
    <col min="3075" max="3075" width="9.140625" style="2" customWidth="1"/>
    <col min="3076" max="3076" width="8.85546875" style="2" customWidth="1"/>
    <col min="3077" max="3077" width="7.85546875" style="2" customWidth="1"/>
    <col min="3078" max="3078" width="8.85546875" style="2" customWidth="1"/>
    <col min="3079" max="3079" width="6.5703125" style="2" customWidth="1"/>
    <col min="3080" max="3080" width="8.42578125" style="2" customWidth="1"/>
    <col min="3081" max="3081" width="7.42578125" style="2" customWidth="1"/>
    <col min="3082" max="3083" width="6" style="2" customWidth="1"/>
    <col min="3084" max="3084" width="0" style="2" hidden="1" customWidth="1"/>
    <col min="3085" max="3086" width="6.85546875" style="2" customWidth="1"/>
    <col min="3087" max="3087" width="8.140625" style="2" customWidth="1"/>
    <col min="3088" max="3089" width="7.85546875" style="2" customWidth="1"/>
    <col min="3090" max="3090" width="0" style="2" hidden="1" customWidth="1"/>
    <col min="3091" max="3092" width="7.42578125" style="2" customWidth="1"/>
    <col min="3093" max="3093" width="0" style="2" hidden="1" customWidth="1"/>
    <col min="3094" max="3094" width="8.140625" style="2" customWidth="1"/>
    <col min="3095" max="3096" width="8.42578125" style="2" customWidth="1"/>
    <col min="3097" max="3097" width="0" style="2" hidden="1" customWidth="1"/>
    <col min="3098" max="3098" width="7.5703125" style="2" customWidth="1"/>
    <col min="3099" max="3099" width="8.42578125" style="2" customWidth="1"/>
    <col min="3100" max="3100" width="0" style="2" hidden="1" customWidth="1"/>
    <col min="3101" max="3102" width="4" style="2" customWidth="1"/>
    <col min="3103" max="3103" width="4.42578125" style="2" customWidth="1"/>
    <col min="3104" max="3104" width="15.42578125" style="2" customWidth="1"/>
    <col min="3105" max="3105" width="16" style="2" customWidth="1"/>
    <col min="3106" max="3328" width="9" style="2"/>
    <col min="3329" max="3329" width="2.85546875" style="2" customWidth="1"/>
    <col min="3330" max="3330" width="17.42578125" style="2" customWidth="1"/>
    <col min="3331" max="3331" width="9.140625" style="2" customWidth="1"/>
    <col min="3332" max="3332" width="8.85546875" style="2" customWidth="1"/>
    <col min="3333" max="3333" width="7.85546875" style="2" customWidth="1"/>
    <col min="3334" max="3334" width="8.85546875" style="2" customWidth="1"/>
    <col min="3335" max="3335" width="6.5703125" style="2" customWidth="1"/>
    <col min="3336" max="3336" width="8.42578125" style="2" customWidth="1"/>
    <col min="3337" max="3337" width="7.42578125" style="2" customWidth="1"/>
    <col min="3338" max="3339" width="6" style="2" customWidth="1"/>
    <col min="3340" max="3340" width="0" style="2" hidden="1" customWidth="1"/>
    <col min="3341" max="3342" width="6.85546875" style="2" customWidth="1"/>
    <col min="3343" max="3343" width="8.140625" style="2" customWidth="1"/>
    <col min="3344" max="3345" width="7.85546875" style="2" customWidth="1"/>
    <col min="3346" max="3346" width="0" style="2" hidden="1" customWidth="1"/>
    <col min="3347" max="3348" width="7.42578125" style="2" customWidth="1"/>
    <col min="3349" max="3349" width="0" style="2" hidden="1" customWidth="1"/>
    <col min="3350" max="3350" width="8.140625" style="2" customWidth="1"/>
    <col min="3351" max="3352" width="8.42578125" style="2" customWidth="1"/>
    <col min="3353" max="3353" width="0" style="2" hidden="1" customWidth="1"/>
    <col min="3354" max="3354" width="7.5703125" style="2" customWidth="1"/>
    <col min="3355" max="3355" width="8.42578125" style="2" customWidth="1"/>
    <col min="3356" max="3356" width="0" style="2" hidden="1" customWidth="1"/>
    <col min="3357" max="3358" width="4" style="2" customWidth="1"/>
    <col min="3359" max="3359" width="4.42578125" style="2" customWidth="1"/>
    <col min="3360" max="3360" width="15.42578125" style="2" customWidth="1"/>
    <col min="3361" max="3361" width="16" style="2" customWidth="1"/>
    <col min="3362" max="3584" width="9" style="2"/>
    <col min="3585" max="3585" width="2.85546875" style="2" customWidth="1"/>
    <col min="3586" max="3586" width="17.42578125" style="2" customWidth="1"/>
    <col min="3587" max="3587" width="9.140625" style="2" customWidth="1"/>
    <col min="3588" max="3588" width="8.85546875" style="2" customWidth="1"/>
    <col min="3589" max="3589" width="7.85546875" style="2" customWidth="1"/>
    <col min="3590" max="3590" width="8.85546875" style="2" customWidth="1"/>
    <col min="3591" max="3591" width="6.5703125" style="2" customWidth="1"/>
    <col min="3592" max="3592" width="8.42578125" style="2" customWidth="1"/>
    <col min="3593" max="3593" width="7.42578125" style="2" customWidth="1"/>
    <col min="3594" max="3595" width="6" style="2" customWidth="1"/>
    <col min="3596" max="3596" width="0" style="2" hidden="1" customWidth="1"/>
    <col min="3597" max="3598" width="6.85546875" style="2" customWidth="1"/>
    <col min="3599" max="3599" width="8.140625" style="2" customWidth="1"/>
    <col min="3600" max="3601" width="7.85546875" style="2" customWidth="1"/>
    <col min="3602" max="3602" width="0" style="2" hidden="1" customWidth="1"/>
    <col min="3603" max="3604" width="7.42578125" style="2" customWidth="1"/>
    <col min="3605" max="3605" width="0" style="2" hidden="1" customWidth="1"/>
    <col min="3606" max="3606" width="8.140625" style="2" customWidth="1"/>
    <col min="3607" max="3608" width="8.42578125" style="2" customWidth="1"/>
    <col min="3609" max="3609" width="0" style="2" hidden="1" customWidth="1"/>
    <col min="3610" max="3610" width="7.5703125" style="2" customWidth="1"/>
    <col min="3611" max="3611" width="8.42578125" style="2" customWidth="1"/>
    <col min="3612" max="3612" width="0" style="2" hidden="1" customWidth="1"/>
    <col min="3613" max="3614" width="4" style="2" customWidth="1"/>
    <col min="3615" max="3615" width="4.42578125" style="2" customWidth="1"/>
    <col min="3616" max="3616" width="15.42578125" style="2" customWidth="1"/>
    <col min="3617" max="3617" width="16" style="2" customWidth="1"/>
    <col min="3618" max="3840" width="9" style="2"/>
    <col min="3841" max="3841" width="2.85546875" style="2" customWidth="1"/>
    <col min="3842" max="3842" width="17.42578125" style="2" customWidth="1"/>
    <col min="3843" max="3843" width="9.140625" style="2" customWidth="1"/>
    <col min="3844" max="3844" width="8.85546875" style="2" customWidth="1"/>
    <col min="3845" max="3845" width="7.85546875" style="2" customWidth="1"/>
    <col min="3846" max="3846" width="8.85546875" style="2" customWidth="1"/>
    <col min="3847" max="3847" width="6.5703125" style="2" customWidth="1"/>
    <col min="3848" max="3848" width="8.42578125" style="2" customWidth="1"/>
    <col min="3849" max="3849" width="7.42578125" style="2" customWidth="1"/>
    <col min="3850" max="3851" width="6" style="2" customWidth="1"/>
    <col min="3852" max="3852" width="0" style="2" hidden="1" customWidth="1"/>
    <col min="3853" max="3854" width="6.85546875" style="2" customWidth="1"/>
    <col min="3855" max="3855" width="8.140625" style="2" customWidth="1"/>
    <col min="3856" max="3857" width="7.85546875" style="2" customWidth="1"/>
    <col min="3858" max="3858" width="0" style="2" hidden="1" customWidth="1"/>
    <col min="3859" max="3860" width="7.42578125" style="2" customWidth="1"/>
    <col min="3861" max="3861" width="0" style="2" hidden="1" customWidth="1"/>
    <col min="3862" max="3862" width="8.140625" style="2" customWidth="1"/>
    <col min="3863" max="3864" width="8.42578125" style="2" customWidth="1"/>
    <col min="3865" max="3865" width="0" style="2" hidden="1" customWidth="1"/>
    <col min="3866" max="3866" width="7.5703125" style="2" customWidth="1"/>
    <col min="3867" max="3867" width="8.42578125" style="2" customWidth="1"/>
    <col min="3868" max="3868" width="0" style="2" hidden="1" customWidth="1"/>
    <col min="3869" max="3870" width="4" style="2" customWidth="1"/>
    <col min="3871" max="3871" width="4.42578125" style="2" customWidth="1"/>
    <col min="3872" max="3872" width="15.42578125" style="2" customWidth="1"/>
    <col min="3873" max="3873" width="16" style="2" customWidth="1"/>
    <col min="3874" max="4096" width="9" style="2"/>
    <col min="4097" max="4097" width="2.85546875" style="2" customWidth="1"/>
    <col min="4098" max="4098" width="17.42578125" style="2" customWidth="1"/>
    <col min="4099" max="4099" width="9.140625" style="2" customWidth="1"/>
    <col min="4100" max="4100" width="8.85546875" style="2" customWidth="1"/>
    <col min="4101" max="4101" width="7.85546875" style="2" customWidth="1"/>
    <col min="4102" max="4102" width="8.85546875" style="2" customWidth="1"/>
    <col min="4103" max="4103" width="6.5703125" style="2" customWidth="1"/>
    <col min="4104" max="4104" width="8.42578125" style="2" customWidth="1"/>
    <col min="4105" max="4105" width="7.42578125" style="2" customWidth="1"/>
    <col min="4106" max="4107" width="6" style="2" customWidth="1"/>
    <col min="4108" max="4108" width="0" style="2" hidden="1" customWidth="1"/>
    <col min="4109" max="4110" width="6.85546875" style="2" customWidth="1"/>
    <col min="4111" max="4111" width="8.140625" style="2" customWidth="1"/>
    <col min="4112" max="4113" width="7.85546875" style="2" customWidth="1"/>
    <col min="4114" max="4114" width="0" style="2" hidden="1" customWidth="1"/>
    <col min="4115" max="4116" width="7.42578125" style="2" customWidth="1"/>
    <col min="4117" max="4117" width="0" style="2" hidden="1" customWidth="1"/>
    <col min="4118" max="4118" width="8.140625" style="2" customWidth="1"/>
    <col min="4119" max="4120" width="8.42578125" style="2" customWidth="1"/>
    <col min="4121" max="4121" width="0" style="2" hidden="1" customWidth="1"/>
    <col min="4122" max="4122" width="7.5703125" style="2" customWidth="1"/>
    <col min="4123" max="4123" width="8.42578125" style="2" customWidth="1"/>
    <col min="4124" max="4124" width="0" style="2" hidden="1" customWidth="1"/>
    <col min="4125" max="4126" width="4" style="2" customWidth="1"/>
    <col min="4127" max="4127" width="4.42578125" style="2" customWidth="1"/>
    <col min="4128" max="4128" width="15.42578125" style="2" customWidth="1"/>
    <col min="4129" max="4129" width="16" style="2" customWidth="1"/>
    <col min="4130" max="4352" width="9" style="2"/>
    <col min="4353" max="4353" width="2.85546875" style="2" customWidth="1"/>
    <col min="4354" max="4354" width="17.42578125" style="2" customWidth="1"/>
    <col min="4355" max="4355" width="9.140625" style="2" customWidth="1"/>
    <col min="4356" max="4356" width="8.85546875" style="2" customWidth="1"/>
    <col min="4357" max="4357" width="7.85546875" style="2" customWidth="1"/>
    <col min="4358" max="4358" width="8.85546875" style="2" customWidth="1"/>
    <col min="4359" max="4359" width="6.5703125" style="2" customWidth="1"/>
    <col min="4360" max="4360" width="8.42578125" style="2" customWidth="1"/>
    <col min="4361" max="4361" width="7.42578125" style="2" customWidth="1"/>
    <col min="4362" max="4363" width="6" style="2" customWidth="1"/>
    <col min="4364" max="4364" width="0" style="2" hidden="1" customWidth="1"/>
    <col min="4365" max="4366" width="6.85546875" style="2" customWidth="1"/>
    <col min="4367" max="4367" width="8.140625" style="2" customWidth="1"/>
    <col min="4368" max="4369" width="7.85546875" style="2" customWidth="1"/>
    <col min="4370" max="4370" width="0" style="2" hidden="1" customWidth="1"/>
    <col min="4371" max="4372" width="7.42578125" style="2" customWidth="1"/>
    <col min="4373" max="4373" width="0" style="2" hidden="1" customWidth="1"/>
    <col min="4374" max="4374" width="8.140625" style="2" customWidth="1"/>
    <col min="4375" max="4376" width="8.42578125" style="2" customWidth="1"/>
    <col min="4377" max="4377" width="0" style="2" hidden="1" customWidth="1"/>
    <col min="4378" max="4378" width="7.5703125" style="2" customWidth="1"/>
    <col min="4379" max="4379" width="8.42578125" style="2" customWidth="1"/>
    <col min="4380" max="4380" width="0" style="2" hidden="1" customWidth="1"/>
    <col min="4381" max="4382" width="4" style="2" customWidth="1"/>
    <col min="4383" max="4383" width="4.42578125" style="2" customWidth="1"/>
    <col min="4384" max="4384" width="15.42578125" style="2" customWidth="1"/>
    <col min="4385" max="4385" width="16" style="2" customWidth="1"/>
    <col min="4386" max="4608" width="9" style="2"/>
    <col min="4609" max="4609" width="2.85546875" style="2" customWidth="1"/>
    <col min="4610" max="4610" width="17.42578125" style="2" customWidth="1"/>
    <col min="4611" max="4611" width="9.140625" style="2" customWidth="1"/>
    <col min="4612" max="4612" width="8.85546875" style="2" customWidth="1"/>
    <col min="4613" max="4613" width="7.85546875" style="2" customWidth="1"/>
    <col min="4614" max="4614" width="8.85546875" style="2" customWidth="1"/>
    <col min="4615" max="4615" width="6.5703125" style="2" customWidth="1"/>
    <col min="4616" max="4616" width="8.42578125" style="2" customWidth="1"/>
    <col min="4617" max="4617" width="7.42578125" style="2" customWidth="1"/>
    <col min="4618" max="4619" width="6" style="2" customWidth="1"/>
    <col min="4620" max="4620" width="0" style="2" hidden="1" customWidth="1"/>
    <col min="4621" max="4622" width="6.85546875" style="2" customWidth="1"/>
    <col min="4623" max="4623" width="8.140625" style="2" customWidth="1"/>
    <col min="4624" max="4625" width="7.85546875" style="2" customWidth="1"/>
    <col min="4626" max="4626" width="0" style="2" hidden="1" customWidth="1"/>
    <col min="4627" max="4628" width="7.42578125" style="2" customWidth="1"/>
    <col min="4629" max="4629" width="0" style="2" hidden="1" customWidth="1"/>
    <col min="4630" max="4630" width="8.140625" style="2" customWidth="1"/>
    <col min="4631" max="4632" width="8.42578125" style="2" customWidth="1"/>
    <col min="4633" max="4633" width="0" style="2" hidden="1" customWidth="1"/>
    <col min="4634" max="4634" width="7.5703125" style="2" customWidth="1"/>
    <col min="4635" max="4635" width="8.42578125" style="2" customWidth="1"/>
    <col min="4636" max="4636" width="0" style="2" hidden="1" customWidth="1"/>
    <col min="4637" max="4638" width="4" style="2" customWidth="1"/>
    <col min="4639" max="4639" width="4.42578125" style="2" customWidth="1"/>
    <col min="4640" max="4640" width="15.42578125" style="2" customWidth="1"/>
    <col min="4641" max="4641" width="16" style="2" customWidth="1"/>
    <col min="4642" max="4864" width="9" style="2"/>
    <col min="4865" max="4865" width="2.85546875" style="2" customWidth="1"/>
    <col min="4866" max="4866" width="17.42578125" style="2" customWidth="1"/>
    <col min="4867" max="4867" width="9.140625" style="2" customWidth="1"/>
    <col min="4868" max="4868" width="8.85546875" style="2" customWidth="1"/>
    <col min="4869" max="4869" width="7.85546875" style="2" customWidth="1"/>
    <col min="4870" max="4870" width="8.85546875" style="2" customWidth="1"/>
    <col min="4871" max="4871" width="6.5703125" style="2" customWidth="1"/>
    <col min="4872" max="4872" width="8.42578125" style="2" customWidth="1"/>
    <col min="4873" max="4873" width="7.42578125" style="2" customWidth="1"/>
    <col min="4874" max="4875" width="6" style="2" customWidth="1"/>
    <col min="4876" max="4876" width="0" style="2" hidden="1" customWidth="1"/>
    <col min="4877" max="4878" width="6.85546875" style="2" customWidth="1"/>
    <col min="4879" max="4879" width="8.140625" style="2" customWidth="1"/>
    <col min="4880" max="4881" width="7.85546875" style="2" customWidth="1"/>
    <col min="4882" max="4882" width="0" style="2" hidden="1" customWidth="1"/>
    <col min="4883" max="4884" width="7.42578125" style="2" customWidth="1"/>
    <col min="4885" max="4885" width="0" style="2" hidden="1" customWidth="1"/>
    <col min="4886" max="4886" width="8.140625" style="2" customWidth="1"/>
    <col min="4887" max="4888" width="8.42578125" style="2" customWidth="1"/>
    <col min="4889" max="4889" width="0" style="2" hidden="1" customWidth="1"/>
    <col min="4890" max="4890" width="7.5703125" style="2" customWidth="1"/>
    <col min="4891" max="4891" width="8.42578125" style="2" customWidth="1"/>
    <col min="4892" max="4892" width="0" style="2" hidden="1" customWidth="1"/>
    <col min="4893" max="4894" width="4" style="2" customWidth="1"/>
    <col min="4895" max="4895" width="4.42578125" style="2" customWidth="1"/>
    <col min="4896" max="4896" width="15.42578125" style="2" customWidth="1"/>
    <col min="4897" max="4897" width="16" style="2" customWidth="1"/>
    <col min="4898" max="5120" width="9" style="2"/>
    <col min="5121" max="5121" width="2.85546875" style="2" customWidth="1"/>
    <col min="5122" max="5122" width="17.42578125" style="2" customWidth="1"/>
    <col min="5123" max="5123" width="9.140625" style="2" customWidth="1"/>
    <col min="5124" max="5124" width="8.85546875" style="2" customWidth="1"/>
    <col min="5125" max="5125" width="7.85546875" style="2" customWidth="1"/>
    <col min="5126" max="5126" width="8.85546875" style="2" customWidth="1"/>
    <col min="5127" max="5127" width="6.5703125" style="2" customWidth="1"/>
    <col min="5128" max="5128" width="8.42578125" style="2" customWidth="1"/>
    <col min="5129" max="5129" width="7.42578125" style="2" customWidth="1"/>
    <col min="5130" max="5131" width="6" style="2" customWidth="1"/>
    <col min="5132" max="5132" width="0" style="2" hidden="1" customWidth="1"/>
    <col min="5133" max="5134" width="6.85546875" style="2" customWidth="1"/>
    <col min="5135" max="5135" width="8.140625" style="2" customWidth="1"/>
    <col min="5136" max="5137" width="7.85546875" style="2" customWidth="1"/>
    <col min="5138" max="5138" width="0" style="2" hidden="1" customWidth="1"/>
    <col min="5139" max="5140" width="7.42578125" style="2" customWidth="1"/>
    <col min="5141" max="5141" width="0" style="2" hidden="1" customWidth="1"/>
    <col min="5142" max="5142" width="8.140625" style="2" customWidth="1"/>
    <col min="5143" max="5144" width="8.42578125" style="2" customWidth="1"/>
    <col min="5145" max="5145" width="0" style="2" hidden="1" customWidth="1"/>
    <col min="5146" max="5146" width="7.5703125" style="2" customWidth="1"/>
    <col min="5147" max="5147" width="8.42578125" style="2" customWidth="1"/>
    <col min="5148" max="5148" width="0" style="2" hidden="1" customWidth="1"/>
    <col min="5149" max="5150" width="4" style="2" customWidth="1"/>
    <col min="5151" max="5151" width="4.42578125" style="2" customWidth="1"/>
    <col min="5152" max="5152" width="15.42578125" style="2" customWidth="1"/>
    <col min="5153" max="5153" width="16" style="2" customWidth="1"/>
    <col min="5154" max="5376" width="9" style="2"/>
    <col min="5377" max="5377" width="2.85546875" style="2" customWidth="1"/>
    <col min="5378" max="5378" width="17.42578125" style="2" customWidth="1"/>
    <col min="5379" max="5379" width="9.140625" style="2" customWidth="1"/>
    <col min="5380" max="5380" width="8.85546875" style="2" customWidth="1"/>
    <col min="5381" max="5381" width="7.85546875" style="2" customWidth="1"/>
    <col min="5382" max="5382" width="8.85546875" style="2" customWidth="1"/>
    <col min="5383" max="5383" width="6.5703125" style="2" customWidth="1"/>
    <col min="5384" max="5384" width="8.42578125" style="2" customWidth="1"/>
    <col min="5385" max="5385" width="7.42578125" style="2" customWidth="1"/>
    <col min="5386" max="5387" width="6" style="2" customWidth="1"/>
    <col min="5388" max="5388" width="0" style="2" hidden="1" customWidth="1"/>
    <col min="5389" max="5390" width="6.85546875" style="2" customWidth="1"/>
    <col min="5391" max="5391" width="8.140625" style="2" customWidth="1"/>
    <col min="5392" max="5393" width="7.85546875" style="2" customWidth="1"/>
    <col min="5394" max="5394" width="0" style="2" hidden="1" customWidth="1"/>
    <col min="5395" max="5396" width="7.42578125" style="2" customWidth="1"/>
    <col min="5397" max="5397" width="0" style="2" hidden="1" customWidth="1"/>
    <col min="5398" max="5398" width="8.140625" style="2" customWidth="1"/>
    <col min="5399" max="5400" width="8.42578125" style="2" customWidth="1"/>
    <col min="5401" max="5401" width="0" style="2" hidden="1" customWidth="1"/>
    <col min="5402" max="5402" width="7.5703125" style="2" customWidth="1"/>
    <col min="5403" max="5403" width="8.42578125" style="2" customWidth="1"/>
    <col min="5404" max="5404" width="0" style="2" hidden="1" customWidth="1"/>
    <col min="5405" max="5406" width="4" style="2" customWidth="1"/>
    <col min="5407" max="5407" width="4.42578125" style="2" customWidth="1"/>
    <col min="5408" max="5408" width="15.42578125" style="2" customWidth="1"/>
    <col min="5409" max="5409" width="16" style="2" customWidth="1"/>
    <col min="5410" max="5632" width="9" style="2"/>
    <col min="5633" max="5633" width="2.85546875" style="2" customWidth="1"/>
    <col min="5634" max="5634" width="17.42578125" style="2" customWidth="1"/>
    <col min="5635" max="5635" width="9.140625" style="2" customWidth="1"/>
    <col min="5636" max="5636" width="8.85546875" style="2" customWidth="1"/>
    <col min="5637" max="5637" width="7.85546875" style="2" customWidth="1"/>
    <col min="5638" max="5638" width="8.85546875" style="2" customWidth="1"/>
    <col min="5639" max="5639" width="6.5703125" style="2" customWidth="1"/>
    <col min="5640" max="5640" width="8.42578125" style="2" customWidth="1"/>
    <col min="5641" max="5641" width="7.42578125" style="2" customWidth="1"/>
    <col min="5642" max="5643" width="6" style="2" customWidth="1"/>
    <col min="5644" max="5644" width="0" style="2" hidden="1" customWidth="1"/>
    <col min="5645" max="5646" width="6.85546875" style="2" customWidth="1"/>
    <col min="5647" max="5647" width="8.140625" style="2" customWidth="1"/>
    <col min="5648" max="5649" width="7.85546875" style="2" customWidth="1"/>
    <col min="5650" max="5650" width="0" style="2" hidden="1" customWidth="1"/>
    <col min="5651" max="5652" width="7.42578125" style="2" customWidth="1"/>
    <col min="5653" max="5653" width="0" style="2" hidden="1" customWidth="1"/>
    <col min="5654" max="5654" width="8.140625" style="2" customWidth="1"/>
    <col min="5655" max="5656" width="8.42578125" style="2" customWidth="1"/>
    <col min="5657" max="5657" width="0" style="2" hidden="1" customWidth="1"/>
    <col min="5658" max="5658" width="7.5703125" style="2" customWidth="1"/>
    <col min="5659" max="5659" width="8.42578125" style="2" customWidth="1"/>
    <col min="5660" max="5660" width="0" style="2" hidden="1" customWidth="1"/>
    <col min="5661" max="5662" width="4" style="2" customWidth="1"/>
    <col min="5663" max="5663" width="4.42578125" style="2" customWidth="1"/>
    <col min="5664" max="5664" width="15.42578125" style="2" customWidth="1"/>
    <col min="5665" max="5665" width="16" style="2" customWidth="1"/>
    <col min="5666" max="5888" width="9" style="2"/>
    <col min="5889" max="5889" width="2.85546875" style="2" customWidth="1"/>
    <col min="5890" max="5890" width="17.42578125" style="2" customWidth="1"/>
    <col min="5891" max="5891" width="9.140625" style="2" customWidth="1"/>
    <col min="5892" max="5892" width="8.85546875" style="2" customWidth="1"/>
    <col min="5893" max="5893" width="7.85546875" style="2" customWidth="1"/>
    <col min="5894" max="5894" width="8.85546875" style="2" customWidth="1"/>
    <col min="5895" max="5895" width="6.5703125" style="2" customWidth="1"/>
    <col min="5896" max="5896" width="8.42578125" style="2" customWidth="1"/>
    <col min="5897" max="5897" width="7.42578125" style="2" customWidth="1"/>
    <col min="5898" max="5899" width="6" style="2" customWidth="1"/>
    <col min="5900" max="5900" width="0" style="2" hidden="1" customWidth="1"/>
    <col min="5901" max="5902" width="6.85546875" style="2" customWidth="1"/>
    <col min="5903" max="5903" width="8.140625" style="2" customWidth="1"/>
    <col min="5904" max="5905" width="7.85546875" style="2" customWidth="1"/>
    <col min="5906" max="5906" width="0" style="2" hidden="1" customWidth="1"/>
    <col min="5907" max="5908" width="7.42578125" style="2" customWidth="1"/>
    <col min="5909" max="5909" width="0" style="2" hidden="1" customWidth="1"/>
    <col min="5910" max="5910" width="8.140625" style="2" customWidth="1"/>
    <col min="5911" max="5912" width="8.42578125" style="2" customWidth="1"/>
    <col min="5913" max="5913" width="0" style="2" hidden="1" customWidth="1"/>
    <col min="5914" max="5914" width="7.5703125" style="2" customWidth="1"/>
    <col min="5915" max="5915" width="8.42578125" style="2" customWidth="1"/>
    <col min="5916" max="5916" width="0" style="2" hidden="1" customWidth="1"/>
    <col min="5917" max="5918" width="4" style="2" customWidth="1"/>
    <col min="5919" max="5919" width="4.42578125" style="2" customWidth="1"/>
    <col min="5920" max="5920" width="15.42578125" style="2" customWidth="1"/>
    <col min="5921" max="5921" width="16" style="2" customWidth="1"/>
    <col min="5922" max="6144" width="9" style="2"/>
    <col min="6145" max="6145" width="2.85546875" style="2" customWidth="1"/>
    <col min="6146" max="6146" width="17.42578125" style="2" customWidth="1"/>
    <col min="6147" max="6147" width="9.140625" style="2" customWidth="1"/>
    <col min="6148" max="6148" width="8.85546875" style="2" customWidth="1"/>
    <col min="6149" max="6149" width="7.85546875" style="2" customWidth="1"/>
    <col min="6150" max="6150" width="8.85546875" style="2" customWidth="1"/>
    <col min="6151" max="6151" width="6.5703125" style="2" customWidth="1"/>
    <col min="6152" max="6152" width="8.42578125" style="2" customWidth="1"/>
    <col min="6153" max="6153" width="7.42578125" style="2" customWidth="1"/>
    <col min="6154" max="6155" width="6" style="2" customWidth="1"/>
    <col min="6156" max="6156" width="0" style="2" hidden="1" customWidth="1"/>
    <col min="6157" max="6158" width="6.85546875" style="2" customWidth="1"/>
    <col min="6159" max="6159" width="8.140625" style="2" customWidth="1"/>
    <col min="6160" max="6161" width="7.85546875" style="2" customWidth="1"/>
    <col min="6162" max="6162" width="0" style="2" hidden="1" customWidth="1"/>
    <col min="6163" max="6164" width="7.42578125" style="2" customWidth="1"/>
    <col min="6165" max="6165" width="0" style="2" hidden="1" customWidth="1"/>
    <col min="6166" max="6166" width="8.140625" style="2" customWidth="1"/>
    <col min="6167" max="6168" width="8.42578125" style="2" customWidth="1"/>
    <col min="6169" max="6169" width="0" style="2" hidden="1" customWidth="1"/>
    <col min="6170" max="6170" width="7.5703125" style="2" customWidth="1"/>
    <col min="6171" max="6171" width="8.42578125" style="2" customWidth="1"/>
    <col min="6172" max="6172" width="0" style="2" hidden="1" customWidth="1"/>
    <col min="6173" max="6174" width="4" style="2" customWidth="1"/>
    <col min="6175" max="6175" width="4.42578125" style="2" customWidth="1"/>
    <col min="6176" max="6176" width="15.42578125" style="2" customWidth="1"/>
    <col min="6177" max="6177" width="16" style="2" customWidth="1"/>
    <col min="6178" max="6400" width="9" style="2"/>
    <col min="6401" max="6401" width="2.85546875" style="2" customWidth="1"/>
    <col min="6402" max="6402" width="17.42578125" style="2" customWidth="1"/>
    <col min="6403" max="6403" width="9.140625" style="2" customWidth="1"/>
    <col min="6404" max="6404" width="8.85546875" style="2" customWidth="1"/>
    <col min="6405" max="6405" width="7.85546875" style="2" customWidth="1"/>
    <col min="6406" max="6406" width="8.85546875" style="2" customWidth="1"/>
    <col min="6407" max="6407" width="6.5703125" style="2" customWidth="1"/>
    <col min="6408" max="6408" width="8.42578125" style="2" customWidth="1"/>
    <col min="6409" max="6409" width="7.42578125" style="2" customWidth="1"/>
    <col min="6410" max="6411" width="6" style="2" customWidth="1"/>
    <col min="6412" max="6412" width="0" style="2" hidden="1" customWidth="1"/>
    <col min="6413" max="6414" width="6.85546875" style="2" customWidth="1"/>
    <col min="6415" max="6415" width="8.140625" style="2" customWidth="1"/>
    <col min="6416" max="6417" width="7.85546875" style="2" customWidth="1"/>
    <col min="6418" max="6418" width="0" style="2" hidden="1" customWidth="1"/>
    <col min="6419" max="6420" width="7.42578125" style="2" customWidth="1"/>
    <col min="6421" max="6421" width="0" style="2" hidden="1" customWidth="1"/>
    <col min="6422" max="6422" width="8.140625" style="2" customWidth="1"/>
    <col min="6423" max="6424" width="8.42578125" style="2" customWidth="1"/>
    <col min="6425" max="6425" width="0" style="2" hidden="1" customWidth="1"/>
    <col min="6426" max="6426" width="7.5703125" style="2" customWidth="1"/>
    <col min="6427" max="6427" width="8.42578125" style="2" customWidth="1"/>
    <col min="6428" max="6428" width="0" style="2" hidden="1" customWidth="1"/>
    <col min="6429" max="6430" width="4" style="2" customWidth="1"/>
    <col min="6431" max="6431" width="4.42578125" style="2" customWidth="1"/>
    <col min="6432" max="6432" width="15.42578125" style="2" customWidth="1"/>
    <col min="6433" max="6433" width="16" style="2" customWidth="1"/>
    <col min="6434" max="6656" width="9" style="2"/>
    <col min="6657" max="6657" width="2.85546875" style="2" customWidth="1"/>
    <col min="6658" max="6658" width="17.42578125" style="2" customWidth="1"/>
    <col min="6659" max="6659" width="9.140625" style="2" customWidth="1"/>
    <col min="6660" max="6660" width="8.85546875" style="2" customWidth="1"/>
    <col min="6661" max="6661" width="7.85546875" style="2" customWidth="1"/>
    <col min="6662" max="6662" width="8.85546875" style="2" customWidth="1"/>
    <col min="6663" max="6663" width="6.5703125" style="2" customWidth="1"/>
    <col min="6664" max="6664" width="8.42578125" style="2" customWidth="1"/>
    <col min="6665" max="6665" width="7.42578125" style="2" customWidth="1"/>
    <col min="6666" max="6667" width="6" style="2" customWidth="1"/>
    <col min="6668" max="6668" width="0" style="2" hidden="1" customWidth="1"/>
    <col min="6669" max="6670" width="6.85546875" style="2" customWidth="1"/>
    <col min="6671" max="6671" width="8.140625" style="2" customWidth="1"/>
    <col min="6672" max="6673" width="7.85546875" style="2" customWidth="1"/>
    <col min="6674" max="6674" width="0" style="2" hidden="1" customWidth="1"/>
    <col min="6675" max="6676" width="7.42578125" style="2" customWidth="1"/>
    <col min="6677" max="6677" width="0" style="2" hidden="1" customWidth="1"/>
    <col min="6678" max="6678" width="8.140625" style="2" customWidth="1"/>
    <col min="6679" max="6680" width="8.42578125" style="2" customWidth="1"/>
    <col min="6681" max="6681" width="0" style="2" hidden="1" customWidth="1"/>
    <col min="6682" max="6682" width="7.5703125" style="2" customWidth="1"/>
    <col min="6683" max="6683" width="8.42578125" style="2" customWidth="1"/>
    <col min="6684" max="6684" width="0" style="2" hidden="1" customWidth="1"/>
    <col min="6685" max="6686" width="4" style="2" customWidth="1"/>
    <col min="6687" max="6687" width="4.42578125" style="2" customWidth="1"/>
    <col min="6688" max="6688" width="15.42578125" style="2" customWidth="1"/>
    <col min="6689" max="6689" width="16" style="2" customWidth="1"/>
    <col min="6690" max="6912" width="9" style="2"/>
    <col min="6913" max="6913" width="2.85546875" style="2" customWidth="1"/>
    <col min="6914" max="6914" width="17.42578125" style="2" customWidth="1"/>
    <col min="6915" max="6915" width="9.140625" style="2" customWidth="1"/>
    <col min="6916" max="6916" width="8.85546875" style="2" customWidth="1"/>
    <col min="6917" max="6917" width="7.85546875" style="2" customWidth="1"/>
    <col min="6918" max="6918" width="8.85546875" style="2" customWidth="1"/>
    <col min="6919" max="6919" width="6.5703125" style="2" customWidth="1"/>
    <col min="6920" max="6920" width="8.42578125" style="2" customWidth="1"/>
    <col min="6921" max="6921" width="7.42578125" style="2" customWidth="1"/>
    <col min="6922" max="6923" width="6" style="2" customWidth="1"/>
    <col min="6924" max="6924" width="0" style="2" hidden="1" customWidth="1"/>
    <col min="6925" max="6926" width="6.85546875" style="2" customWidth="1"/>
    <col min="6927" max="6927" width="8.140625" style="2" customWidth="1"/>
    <col min="6928" max="6929" width="7.85546875" style="2" customWidth="1"/>
    <col min="6930" max="6930" width="0" style="2" hidden="1" customWidth="1"/>
    <col min="6931" max="6932" width="7.42578125" style="2" customWidth="1"/>
    <col min="6933" max="6933" width="0" style="2" hidden="1" customWidth="1"/>
    <col min="6934" max="6934" width="8.140625" style="2" customWidth="1"/>
    <col min="6935" max="6936" width="8.42578125" style="2" customWidth="1"/>
    <col min="6937" max="6937" width="0" style="2" hidden="1" customWidth="1"/>
    <col min="6938" max="6938" width="7.5703125" style="2" customWidth="1"/>
    <col min="6939" max="6939" width="8.42578125" style="2" customWidth="1"/>
    <col min="6940" max="6940" width="0" style="2" hidden="1" customWidth="1"/>
    <col min="6941" max="6942" width="4" style="2" customWidth="1"/>
    <col min="6943" max="6943" width="4.42578125" style="2" customWidth="1"/>
    <col min="6944" max="6944" width="15.42578125" style="2" customWidth="1"/>
    <col min="6945" max="6945" width="16" style="2" customWidth="1"/>
    <col min="6946" max="7168" width="9" style="2"/>
    <col min="7169" max="7169" width="2.85546875" style="2" customWidth="1"/>
    <col min="7170" max="7170" width="17.42578125" style="2" customWidth="1"/>
    <col min="7171" max="7171" width="9.140625" style="2" customWidth="1"/>
    <col min="7172" max="7172" width="8.85546875" style="2" customWidth="1"/>
    <col min="7173" max="7173" width="7.85546875" style="2" customWidth="1"/>
    <col min="7174" max="7174" width="8.85546875" style="2" customWidth="1"/>
    <col min="7175" max="7175" width="6.5703125" style="2" customWidth="1"/>
    <col min="7176" max="7176" width="8.42578125" style="2" customWidth="1"/>
    <col min="7177" max="7177" width="7.42578125" style="2" customWidth="1"/>
    <col min="7178" max="7179" width="6" style="2" customWidth="1"/>
    <col min="7180" max="7180" width="0" style="2" hidden="1" customWidth="1"/>
    <col min="7181" max="7182" width="6.85546875" style="2" customWidth="1"/>
    <col min="7183" max="7183" width="8.140625" style="2" customWidth="1"/>
    <col min="7184" max="7185" width="7.85546875" style="2" customWidth="1"/>
    <col min="7186" max="7186" width="0" style="2" hidden="1" customWidth="1"/>
    <col min="7187" max="7188" width="7.42578125" style="2" customWidth="1"/>
    <col min="7189" max="7189" width="0" style="2" hidden="1" customWidth="1"/>
    <col min="7190" max="7190" width="8.140625" style="2" customWidth="1"/>
    <col min="7191" max="7192" width="8.42578125" style="2" customWidth="1"/>
    <col min="7193" max="7193" width="0" style="2" hidden="1" customWidth="1"/>
    <col min="7194" max="7194" width="7.5703125" style="2" customWidth="1"/>
    <col min="7195" max="7195" width="8.42578125" style="2" customWidth="1"/>
    <col min="7196" max="7196" width="0" style="2" hidden="1" customWidth="1"/>
    <col min="7197" max="7198" width="4" style="2" customWidth="1"/>
    <col min="7199" max="7199" width="4.42578125" style="2" customWidth="1"/>
    <col min="7200" max="7200" width="15.42578125" style="2" customWidth="1"/>
    <col min="7201" max="7201" width="16" style="2" customWidth="1"/>
    <col min="7202" max="7424" width="9" style="2"/>
    <col min="7425" max="7425" width="2.85546875" style="2" customWidth="1"/>
    <col min="7426" max="7426" width="17.42578125" style="2" customWidth="1"/>
    <col min="7427" max="7427" width="9.140625" style="2" customWidth="1"/>
    <col min="7428" max="7428" width="8.85546875" style="2" customWidth="1"/>
    <col min="7429" max="7429" width="7.85546875" style="2" customWidth="1"/>
    <col min="7430" max="7430" width="8.85546875" style="2" customWidth="1"/>
    <col min="7431" max="7431" width="6.5703125" style="2" customWidth="1"/>
    <col min="7432" max="7432" width="8.42578125" style="2" customWidth="1"/>
    <col min="7433" max="7433" width="7.42578125" style="2" customWidth="1"/>
    <col min="7434" max="7435" width="6" style="2" customWidth="1"/>
    <col min="7436" max="7436" width="0" style="2" hidden="1" customWidth="1"/>
    <col min="7437" max="7438" width="6.85546875" style="2" customWidth="1"/>
    <col min="7439" max="7439" width="8.140625" style="2" customWidth="1"/>
    <col min="7440" max="7441" width="7.85546875" style="2" customWidth="1"/>
    <col min="7442" max="7442" width="0" style="2" hidden="1" customWidth="1"/>
    <col min="7443" max="7444" width="7.42578125" style="2" customWidth="1"/>
    <col min="7445" max="7445" width="0" style="2" hidden="1" customWidth="1"/>
    <col min="7446" max="7446" width="8.140625" style="2" customWidth="1"/>
    <col min="7447" max="7448" width="8.42578125" style="2" customWidth="1"/>
    <col min="7449" max="7449" width="0" style="2" hidden="1" customWidth="1"/>
    <col min="7450" max="7450" width="7.5703125" style="2" customWidth="1"/>
    <col min="7451" max="7451" width="8.42578125" style="2" customWidth="1"/>
    <col min="7452" max="7452" width="0" style="2" hidden="1" customWidth="1"/>
    <col min="7453" max="7454" width="4" style="2" customWidth="1"/>
    <col min="7455" max="7455" width="4.42578125" style="2" customWidth="1"/>
    <col min="7456" max="7456" width="15.42578125" style="2" customWidth="1"/>
    <col min="7457" max="7457" width="16" style="2" customWidth="1"/>
    <col min="7458" max="7680" width="9" style="2"/>
    <col min="7681" max="7681" width="2.85546875" style="2" customWidth="1"/>
    <col min="7682" max="7682" width="17.42578125" style="2" customWidth="1"/>
    <col min="7683" max="7683" width="9.140625" style="2" customWidth="1"/>
    <col min="7684" max="7684" width="8.85546875" style="2" customWidth="1"/>
    <col min="7685" max="7685" width="7.85546875" style="2" customWidth="1"/>
    <col min="7686" max="7686" width="8.85546875" style="2" customWidth="1"/>
    <col min="7687" max="7687" width="6.5703125" style="2" customWidth="1"/>
    <col min="7688" max="7688" width="8.42578125" style="2" customWidth="1"/>
    <col min="7689" max="7689" width="7.42578125" style="2" customWidth="1"/>
    <col min="7690" max="7691" width="6" style="2" customWidth="1"/>
    <col min="7692" max="7692" width="0" style="2" hidden="1" customWidth="1"/>
    <col min="7693" max="7694" width="6.85546875" style="2" customWidth="1"/>
    <col min="7695" max="7695" width="8.140625" style="2" customWidth="1"/>
    <col min="7696" max="7697" width="7.85546875" style="2" customWidth="1"/>
    <col min="7698" max="7698" width="0" style="2" hidden="1" customWidth="1"/>
    <col min="7699" max="7700" width="7.42578125" style="2" customWidth="1"/>
    <col min="7701" max="7701" width="0" style="2" hidden="1" customWidth="1"/>
    <col min="7702" max="7702" width="8.140625" style="2" customWidth="1"/>
    <col min="7703" max="7704" width="8.42578125" style="2" customWidth="1"/>
    <col min="7705" max="7705" width="0" style="2" hidden="1" customWidth="1"/>
    <col min="7706" max="7706" width="7.5703125" style="2" customWidth="1"/>
    <col min="7707" max="7707" width="8.42578125" style="2" customWidth="1"/>
    <col min="7708" max="7708" width="0" style="2" hidden="1" customWidth="1"/>
    <col min="7709" max="7710" width="4" style="2" customWidth="1"/>
    <col min="7711" max="7711" width="4.42578125" style="2" customWidth="1"/>
    <col min="7712" max="7712" width="15.42578125" style="2" customWidth="1"/>
    <col min="7713" max="7713" width="16" style="2" customWidth="1"/>
    <col min="7714" max="7936" width="9" style="2"/>
    <col min="7937" max="7937" width="2.85546875" style="2" customWidth="1"/>
    <col min="7938" max="7938" width="17.42578125" style="2" customWidth="1"/>
    <col min="7939" max="7939" width="9.140625" style="2" customWidth="1"/>
    <col min="7940" max="7940" width="8.85546875" style="2" customWidth="1"/>
    <col min="7941" max="7941" width="7.85546875" style="2" customWidth="1"/>
    <col min="7942" max="7942" width="8.85546875" style="2" customWidth="1"/>
    <col min="7943" max="7943" width="6.5703125" style="2" customWidth="1"/>
    <col min="7944" max="7944" width="8.42578125" style="2" customWidth="1"/>
    <col min="7945" max="7945" width="7.42578125" style="2" customWidth="1"/>
    <col min="7946" max="7947" width="6" style="2" customWidth="1"/>
    <col min="7948" max="7948" width="0" style="2" hidden="1" customWidth="1"/>
    <col min="7949" max="7950" width="6.85546875" style="2" customWidth="1"/>
    <col min="7951" max="7951" width="8.140625" style="2" customWidth="1"/>
    <col min="7952" max="7953" width="7.85546875" style="2" customWidth="1"/>
    <col min="7954" max="7954" width="0" style="2" hidden="1" customWidth="1"/>
    <col min="7955" max="7956" width="7.42578125" style="2" customWidth="1"/>
    <col min="7957" max="7957" width="0" style="2" hidden="1" customWidth="1"/>
    <col min="7958" max="7958" width="8.140625" style="2" customWidth="1"/>
    <col min="7959" max="7960" width="8.42578125" style="2" customWidth="1"/>
    <col min="7961" max="7961" width="0" style="2" hidden="1" customWidth="1"/>
    <col min="7962" max="7962" width="7.5703125" style="2" customWidth="1"/>
    <col min="7963" max="7963" width="8.42578125" style="2" customWidth="1"/>
    <col min="7964" max="7964" width="0" style="2" hidden="1" customWidth="1"/>
    <col min="7965" max="7966" width="4" style="2" customWidth="1"/>
    <col min="7967" max="7967" width="4.42578125" style="2" customWidth="1"/>
    <col min="7968" max="7968" width="15.42578125" style="2" customWidth="1"/>
    <col min="7969" max="7969" width="16" style="2" customWidth="1"/>
    <col min="7970" max="8192" width="9" style="2"/>
    <col min="8193" max="8193" width="2.85546875" style="2" customWidth="1"/>
    <col min="8194" max="8194" width="17.42578125" style="2" customWidth="1"/>
    <col min="8195" max="8195" width="9.140625" style="2" customWidth="1"/>
    <col min="8196" max="8196" width="8.85546875" style="2" customWidth="1"/>
    <col min="8197" max="8197" width="7.85546875" style="2" customWidth="1"/>
    <col min="8198" max="8198" width="8.85546875" style="2" customWidth="1"/>
    <col min="8199" max="8199" width="6.5703125" style="2" customWidth="1"/>
    <col min="8200" max="8200" width="8.42578125" style="2" customWidth="1"/>
    <col min="8201" max="8201" width="7.42578125" style="2" customWidth="1"/>
    <col min="8202" max="8203" width="6" style="2" customWidth="1"/>
    <col min="8204" max="8204" width="0" style="2" hidden="1" customWidth="1"/>
    <col min="8205" max="8206" width="6.85546875" style="2" customWidth="1"/>
    <col min="8207" max="8207" width="8.140625" style="2" customWidth="1"/>
    <col min="8208" max="8209" width="7.85546875" style="2" customWidth="1"/>
    <col min="8210" max="8210" width="0" style="2" hidden="1" customWidth="1"/>
    <col min="8211" max="8212" width="7.42578125" style="2" customWidth="1"/>
    <col min="8213" max="8213" width="0" style="2" hidden="1" customWidth="1"/>
    <col min="8214" max="8214" width="8.140625" style="2" customWidth="1"/>
    <col min="8215" max="8216" width="8.42578125" style="2" customWidth="1"/>
    <col min="8217" max="8217" width="0" style="2" hidden="1" customWidth="1"/>
    <col min="8218" max="8218" width="7.5703125" style="2" customWidth="1"/>
    <col min="8219" max="8219" width="8.42578125" style="2" customWidth="1"/>
    <col min="8220" max="8220" width="0" style="2" hidden="1" customWidth="1"/>
    <col min="8221" max="8222" width="4" style="2" customWidth="1"/>
    <col min="8223" max="8223" width="4.42578125" style="2" customWidth="1"/>
    <col min="8224" max="8224" width="15.42578125" style="2" customWidth="1"/>
    <col min="8225" max="8225" width="16" style="2" customWidth="1"/>
    <col min="8226" max="8448" width="9" style="2"/>
    <col min="8449" max="8449" width="2.85546875" style="2" customWidth="1"/>
    <col min="8450" max="8450" width="17.42578125" style="2" customWidth="1"/>
    <col min="8451" max="8451" width="9.140625" style="2" customWidth="1"/>
    <col min="8452" max="8452" width="8.85546875" style="2" customWidth="1"/>
    <col min="8453" max="8453" width="7.85546875" style="2" customWidth="1"/>
    <col min="8454" max="8454" width="8.85546875" style="2" customWidth="1"/>
    <col min="8455" max="8455" width="6.5703125" style="2" customWidth="1"/>
    <col min="8456" max="8456" width="8.42578125" style="2" customWidth="1"/>
    <col min="8457" max="8457" width="7.42578125" style="2" customWidth="1"/>
    <col min="8458" max="8459" width="6" style="2" customWidth="1"/>
    <col min="8460" max="8460" width="0" style="2" hidden="1" customWidth="1"/>
    <col min="8461" max="8462" width="6.85546875" style="2" customWidth="1"/>
    <col min="8463" max="8463" width="8.140625" style="2" customWidth="1"/>
    <col min="8464" max="8465" width="7.85546875" style="2" customWidth="1"/>
    <col min="8466" max="8466" width="0" style="2" hidden="1" customWidth="1"/>
    <col min="8467" max="8468" width="7.42578125" style="2" customWidth="1"/>
    <col min="8469" max="8469" width="0" style="2" hidden="1" customWidth="1"/>
    <col min="8470" max="8470" width="8.140625" style="2" customWidth="1"/>
    <col min="8471" max="8472" width="8.42578125" style="2" customWidth="1"/>
    <col min="8473" max="8473" width="0" style="2" hidden="1" customWidth="1"/>
    <col min="8474" max="8474" width="7.5703125" style="2" customWidth="1"/>
    <col min="8475" max="8475" width="8.42578125" style="2" customWidth="1"/>
    <col min="8476" max="8476" width="0" style="2" hidden="1" customWidth="1"/>
    <col min="8477" max="8478" width="4" style="2" customWidth="1"/>
    <col min="8479" max="8479" width="4.42578125" style="2" customWidth="1"/>
    <col min="8480" max="8480" width="15.42578125" style="2" customWidth="1"/>
    <col min="8481" max="8481" width="16" style="2" customWidth="1"/>
    <col min="8482" max="8704" width="9" style="2"/>
    <col min="8705" max="8705" width="2.85546875" style="2" customWidth="1"/>
    <col min="8706" max="8706" width="17.42578125" style="2" customWidth="1"/>
    <col min="8707" max="8707" width="9.140625" style="2" customWidth="1"/>
    <col min="8708" max="8708" width="8.85546875" style="2" customWidth="1"/>
    <col min="8709" max="8709" width="7.85546875" style="2" customWidth="1"/>
    <col min="8710" max="8710" width="8.85546875" style="2" customWidth="1"/>
    <col min="8711" max="8711" width="6.5703125" style="2" customWidth="1"/>
    <col min="8712" max="8712" width="8.42578125" style="2" customWidth="1"/>
    <col min="8713" max="8713" width="7.42578125" style="2" customWidth="1"/>
    <col min="8714" max="8715" width="6" style="2" customWidth="1"/>
    <col min="8716" max="8716" width="0" style="2" hidden="1" customWidth="1"/>
    <col min="8717" max="8718" width="6.85546875" style="2" customWidth="1"/>
    <col min="8719" max="8719" width="8.140625" style="2" customWidth="1"/>
    <col min="8720" max="8721" width="7.85546875" style="2" customWidth="1"/>
    <col min="8722" max="8722" width="0" style="2" hidden="1" customWidth="1"/>
    <col min="8723" max="8724" width="7.42578125" style="2" customWidth="1"/>
    <col min="8725" max="8725" width="0" style="2" hidden="1" customWidth="1"/>
    <col min="8726" max="8726" width="8.140625" style="2" customWidth="1"/>
    <col min="8727" max="8728" width="8.42578125" style="2" customWidth="1"/>
    <col min="8729" max="8729" width="0" style="2" hidden="1" customWidth="1"/>
    <col min="8730" max="8730" width="7.5703125" style="2" customWidth="1"/>
    <col min="8731" max="8731" width="8.42578125" style="2" customWidth="1"/>
    <col min="8732" max="8732" width="0" style="2" hidden="1" customWidth="1"/>
    <col min="8733" max="8734" width="4" style="2" customWidth="1"/>
    <col min="8735" max="8735" width="4.42578125" style="2" customWidth="1"/>
    <col min="8736" max="8736" width="15.42578125" style="2" customWidth="1"/>
    <col min="8737" max="8737" width="16" style="2" customWidth="1"/>
    <col min="8738" max="8960" width="9" style="2"/>
    <col min="8961" max="8961" width="2.85546875" style="2" customWidth="1"/>
    <col min="8962" max="8962" width="17.42578125" style="2" customWidth="1"/>
    <col min="8963" max="8963" width="9.140625" style="2" customWidth="1"/>
    <col min="8964" max="8964" width="8.85546875" style="2" customWidth="1"/>
    <col min="8965" max="8965" width="7.85546875" style="2" customWidth="1"/>
    <col min="8966" max="8966" width="8.85546875" style="2" customWidth="1"/>
    <col min="8967" max="8967" width="6.5703125" style="2" customWidth="1"/>
    <col min="8968" max="8968" width="8.42578125" style="2" customWidth="1"/>
    <col min="8969" max="8969" width="7.42578125" style="2" customWidth="1"/>
    <col min="8970" max="8971" width="6" style="2" customWidth="1"/>
    <col min="8972" max="8972" width="0" style="2" hidden="1" customWidth="1"/>
    <col min="8973" max="8974" width="6.85546875" style="2" customWidth="1"/>
    <col min="8975" max="8975" width="8.140625" style="2" customWidth="1"/>
    <col min="8976" max="8977" width="7.85546875" style="2" customWidth="1"/>
    <col min="8978" max="8978" width="0" style="2" hidden="1" customWidth="1"/>
    <col min="8979" max="8980" width="7.42578125" style="2" customWidth="1"/>
    <col min="8981" max="8981" width="0" style="2" hidden="1" customWidth="1"/>
    <col min="8982" max="8982" width="8.140625" style="2" customWidth="1"/>
    <col min="8983" max="8984" width="8.42578125" style="2" customWidth="1"/>
    <col min="8985" max="8985" width="0" style="2" hidden="1" customWidth="1"/>
    <col min="8986" max="8986" width="7.5703125" style="2" customWidth="1"/>
    <col min="8987" max="8987" width="8.42578125" style="2" customWidth="1"/>
    <col min="8988" max="8988" width="0" style="2" hidden="1" customWidth="1"/>
    <col min="8989" max="8990" width="4" style="2" customWidth="1"/>
    <col min="8991" max="8991" width="4.42578125" style="2" customWidth="1"/>
    <col min="8992" max="8992" width="15.42578125" style="2" customWidth="1"/>
    <col min="8993" max="8993" width="16" style="2" customWidth="1"/>
    <col min="8994" max="9216" width="9" style="2"/>
    <col min="9217" max="9217" width="2.85546875" style="2" customWidth="1"/>
    <col min="9218" max="9218" width="17.42578125" style="2" customWidth="1"/>
    <col min="9219" max="9219" width="9.140625" style="2" customWidth="1"/>
    <col min="9220" max="9220" width="8.85546875" style="2" customWidth="1"/>
    <col min="9221" max="9221" width="7.85546875" style="2" customWidth="1"/>
    <col min="9222" max="9222" width="8.85546875" style="2" customWidth="1"/>
    <col min="9223" max="9223" width="6.5703125" style="2" customWidth="1"/>
    <col min="9224" max="9224" width="8.42578125" style="2" customWidth="1"/>
    <col min="9225" max="9225" width="7.42578125" style="2" customWidth="1"/>
    <col min="9226" max="9227" width="6" style="2" customWidth="1"/>
    <col min="9228" max="9228" width="0" style="2" hidden="1" customWidth="1"/>
    <col min="9229" max="9230" width="6.85546875" style="2" customWidth="1"/>
    <col min="9231" max="9231" width="8.140625" style="2" customWidth="1"/>
    <col min="9232" max="9233" width="7.85546875" style="2" customWidth="1"/>
    <col min="9234" max="9234" width="0" style="2" hidden="1" customWidth="1"/>
    <col min="9235" max="9236" width="7.42578125" style="2" customWidth="1"/>
    <col min="9237" max="9237" width="0" style="2" hidden="1" customWidth="1"/>
    <col min="9238" max="9238" width="8.140625" style="2" customWidth="1"/>
    <col min="9239" max="9240" width="8.42578125" style="2" customWidth="1"/>
    <col min="9241" max="9241" width="0" style="2" hidden="1" customWidth="1"/>
    <col min="9242" max="9242" width="7.5703125" style="2" customWidth="1"/>
    <col min="9243" max="9243" width="8.42578125" style="2" customWidth="1"/>
    <col min="9244" max="9244" width="0" style="2" hidden="1" customWidth="1"/>
    <col min="9245" max="9246" width="4" style="2" customWidth="1"/>
    <col min="9247" max="9247" width="4.42578125" style="2" customWidth="1"/>
    <col min="9248" max="9248" width="15.42578125" style="2" customWidth="1"/>
    <col min="9249" max="9249" width="16" style="2" customWidth="1"/>
    <col min="9250" max="9472" width="9" style="2"/>
    <col min="9473" max="9473" width="2.85546875" style="2" customWidth="1"/>
    <col min="9474" max="9474" width="17.42578125" style="2" customWidth="1"/>
    <col min="9475" max="9475" width="9.140625" style="2" customWidth="1"/>
    <col min="9476" max="9476" width="8.85546875" style="2" customWidth="1"/>
    <col min="9477" max="9477" width="7.85546875" style="2" customWidth="1"/>
    <col min="9478" max="9478" width="8.85546875" style="2" customWidth="1"/>
    <col min="9479" max="9479" width="6.5703125" style="2" customWidth="1"/>
    <col min="9480" max="9480" width="8.42578125" style="2" customWidth="1"/>
    <col min="9481" max="9481" width="7.42578125" style="2" customWidth="1"/>
    <col min="9482" max="9483" width="6" style="2" customWidth="1"/>
    <col min="9484" max="9484" width="0" style="2" hidden="1" customWidth="1"/>
    <col min="9485" max="9486" width="6.85546875" style="2" customWidth="1"/>
    <col min="9487" max="9487" width="8.140625" style="2" customWidth="1"/>
    <col min="9488" max="9489" width="7.85546875" style="2" customWidth="1"/>
    <col min="9490" max="9490" width="0" style="2" hidden="1" customWidth="1"/>
    <col min="9491" max="9492" width="7.42578125" style="2" customWidth="1"/>
    <col min="9493" max="9493" width="0" style="2" hidden="1" customWidth="1"/>
    <col min="9494" max="9494" width="8.140625" style="2" customWidth="1"/>
    <col min="9495" max="9496" width="8.42578125" style="2" customWidth="1"/>
    <col min="9497" max="9497" width="0" style="2" hidden="1" customWidth="1"/>
    <col min="9498" max="9498" width="7.5703125" style="2" customWidth="1"/>
    <col min="9499" max="9499" width="8.42578125" style="2" customWidth="1"/>
    <col min="9500" max="9500" width="0" style="2" hidden="1" customWidth="1"/>
    <col min="9501" max="9502" width="4" style="2" customWidth="1"/>
    <col min="9503" max="9503" width="4.42578125" style="2" customWidth="1"/>
    <col min="9504" max="9504" width="15.42578125" style="2" customWidth="1"/>
    <col min="9505" max="9505" width="16" style="2" customWidth="1"/>
    <col min="9506" max="9728" width="9" style="2"/>
    <col min="9729" max="9729" width="2.85546875" style="2" customWidth="1"/>
    <col min="9730" max="9730" width="17.42578125" style="2" customWidth="1"/>
    <col min="9731" max="9731" width="9.140625" style="2" customWidth="1"/>
    <col min="9732" max="9732" width="8.85546875" style="2" customWidth="1"/>
    <col min="9733" max="9733" width="7.85546875" style="2" customWidth="1"/>
    <col min="9734" max="9734" width="8.85546875" style="2" customWidth="1"/>
    <col min="9735" max="9735" width="6.5703125" style="2" customWidth="1"/>
    <col min="9736" max="9736" width="8.42578125" style="2" customWidth="1"/>
    <col min="9737" max="9737" width="7.42578125" style="2" customWidth="1"/>
    <col min="9738" max="9739" width="6" style="2" customWidth="1"/>
    <col min="9740" max="9740" width="0" style="2" hidden="1" customWidth="1"/>
    <col min="9741" max="9742" width="6.85546875" style="2" customWidth="1"/>
    <col min="9743" max="9743" width="8.140625" style="2" customWidth="1"/>
    <col min="9744" max="9745" width="7.85546875" style="2" customWidth="1"/>
    <col min="9746" max="9746" width="0" style="2" hidden="1" customWidth="1"/>
    <col min="9747" max="9748" width="7.42578125" style="2" customWidth="1"/>
    <col min="9749" max="9749" width="0" style="2" hidden="1" customWidth="1"/>
    <col min="9750" max="9750" width="8.140625" style="2" customWidth="1"/>
    <col min="9751" max="9752" width="8.42578125" style="2" customWidth="1"/>
    <col min="9753" max="9753" width="0" style="2" hidden="1" customWidth="1"/>
    <col min="9754" max="9754" width="7.5703125" style="2" customWidth="1"/>
    <col min="9755" max="9755" width="8.42578125" style="2" customWidth="1"/>
    <col min="9756" max="9756" width="0" style="2" hidden="1" customWidth="1"/>
    <col min="9757" max="9758" width="4" style="2" customWidth="1"/>
    <col min="9759" max="9759" width="4.42578125" style="2" customWidth="1"/>
    <col min="9760" max="9760" width="15.42578125" style="2" customWidth="1"/>
    <col min="9761" max="9761" width="16" style="2" customWidth="1"/>
    <col min="9762" max="9984" width="9" style="2"/>
    <col min="9985" max="9985" width="2.85546875" style="2" customWidth="1"/>
    <col min="9986" max="9986" width="17.42578125" style="2" customWidth="1"/>
    <col min="9987" max="9987" width="9.140625" style="2" customWidth="1"/>
    <col min="9988" max="9988" width="8.85546875" style="2" customWidth="1"/>
    <col min="9989" max="9989" width="7.85546875" style="2" customWidth="1"/>
    <col min="9990" max="9990" width="8.85546875" style="2" customWidth="1"/>
    <col min="9991" max="9991" width="6.5703125" style="2" customWidth="1"/>
    <col min="9992" max="9992" width="8.42578125" style="2" customWidth="1"/>
    <col min="9993" max="9993" width="7.42578125" style="2" customWidth="1"/>
    <col min="9994" max="9995" width="6" style="2" customWidth="1"/>
    <col min="9996" max="9996" width="0" style="2" hidden="1" customWidth="1"/>
    <col min="9997" max="9998" width="6.85546875" style="2" customWidth="1"/>
    <col min="9999" max="9999" width="8.140625" style="2" customWidth="1"/>
    <col min="10000" max="10001" width="7.85546875" style="2" customWidth="1"/>
    <col min="10002" max="10002" width="0" style="2" hidden="1" customWidth="1"/>
    <col min="10003" max="10004" width="7.42578125" style="2" customWidth="1"/>
    <col min="10005" max="10005" width="0" style="2" hidden="1" customWidth="1"/>
    <col min="10006" max="10006" width="8.140625" style="2" customWidth="1"/>
    <col min="10007" max="10008" width="8.42578125" style="2" customWidth="1"/>
    <col min="10009" max="10009" width="0" style="2" hidden="1" customWidth="1"/>
    <col min="10010" max="10010" width="7.5703125" style="2" customWidth="1"/>
    <col min="10011" max="10011" width="8.42578125" style="2" customWidth="1"/>
    <col min="10012" max="10012" width="0" style="2" hidden="1" customWidth="1"/>
    <col min="10013" max="10014" width="4" style="2" customWidth="1"/>
    <col min="10015" max="10015" width="4.42578125" style="2" customWidth="1"/>
    <col min="10016" max="10016" width="15.42578125" style="2" customWidth="1"/>
    <col min="10017" max="10017" width="16" style="2" customWidth="1"/>
    <col min="10018" max="10240" width="9" style="2"/>
    <col min="10241" max="10241" width="2.85546875" style="2" customWidth="1"/>
    <col min="10242" max="10242" width="17.42578125" style="2" customWidth="1"/>
    <col min="10243" max="10243" width="9.140625" style="2" customWidth="1"/>
    <col min="10244" max="10244" width="8.85546875" style="2" customWidth="1"/>
    <col min="10245" max="10245" width="7.85546875" style="2" customWidth="1"/>
    <col min="10246" max="10246" width="8.85546875" style="2" customWidth="1"/>
    <col min="10247" max="10247" width="6.5703125" style="2" customWidth="1"/>
    <col min="10248" max="10248" width="8.42578125" style="2" customWidth="1"/>
    <col min="10249" max="10249" width="7.42578125" style="2" customWidth="1"/>
    <col min="10250" max="10251" width="6" style="2" customWidth="1"/>
    <col min="10252" max="10252" width="0" style="2" hidden="1" customWidth="1"/>
    <col min="10253" max="10254" width="6.85546875" style="2" customWidth="1"/>
    <col min="10255" max="10255" width="8.140625" style="2" customWidth="1"/>
    <col min="10256" max="10257" width="7.85546875" style="2" customWidth="1"/>
    <col min="10258" max="10258" width="0" style="2" hidden="1" customWidth="1"/>
    <col min="10259" max="10260" width="7.42578125" style="2" customWidth="1"/>
    <col min="10261" max="10261" width="0" style="2" hidden="1" customWidth="1"/>
    <col min="10262" max="10262" width="8.140625" style="2" customWidth="1"/>
    <col min="10263" max="10264" width="8.42578125" style="2" customWidth="1"/>
    <col min="10265" max="10265" width="0" style="2" hidden="1" customWidth="1"/>
    <col min="10266" max="10266" width="7.5703125" style="2" customWidth="1"/>
    <col min="10267" max="10267" width="8.42578125" style="2" customWidth="1"/>
    <col min="10268" max="10268" width="0" style="2" hidden="1" customWidth="1"/>
    <col min="10269" max="10270" width="4" style="2" customWidth="1"/>
    <col min="10271" max="10271" width="4.42578125" style="2" customWidth="1"/>
    <col min="10272" max="10272" width="15.42578125" style="2" customWidth="1"/>
    <col min="10273" max="10273" width="16" style="2" customWidth="1"/>
    <col min="10274" max="10496" width="9" style="2"/>
    <col min="10497" max="10497" width="2.85546875" style="2" customWidth="1"/>
    <col min="10498" max="10498" width="17.42578125" style="2" customWidth="1"/>
    <col min="10499" max="10499" width="9.140625" style="2" customWidth="1"/>
    <col min="10500" max="10500" width="8.85546875" style="2" customWidth="1"/>
    <col min="10501" max="10501" width="7.85546875" style="2" customWidth="1"/>
    <col min="10502" max="10502" width="8.85546875" style="2" customWidth="1"/>
    <col min="10503" max="10503" width="6.5703125" style="2" customWidth="1"/>
    <col min="10504" max="10504" width="8.42578125" style="2" customWidth="1"/>
    <col min="10505" max="10505" width="7.42578125" style="2" customWidth="1"/>
    <col min="10506" max="10507" width="6" style="2" customWidth="1"/>
    <col min="10508" max="10508" width="0" style="2" hidden="1" customWidth="1"/>
    <col min="10509" max="10510" width="6.85546875" style="2" customWidth="1"/>
    <col min="10511" max="10511" width="8.140625" style="2" customWidth="1"/>
    <col min="10512" max="10513" width="7.85546875" style="2" customWidth="1"/>
    <col min="10514" max="10514" width="0" style="2" hidden="1" customWidth="1"/>
    <col min="10515" max="10516" width="7.42578125" style="2" customWidth="1"/>
    <col min="10517" max="10517" width="0" style="2" hidden="1" customWidth="1"/>
    <col min="10518" max="10518" width="8.140625" style="2" customWidth="1"/>
    <col min="10519" max="10520" width="8.42578125" style="2" customWidth="1"/>
    <col min="10521" max="10521" width="0" style="2" hidden="1" customWidth="1"/>
    <col min="10522" max="10522" width="7.5703125" style="2" customWidth="1"/>
    <col min="10523" max="10523" width="8.42578125" style="2" customWidth="1"/>
    <col min="10524" max="10524" width="0" style="2" hidden="1" customWidth="1"/>
    <col min="10525" max="10526" width="4" style="2" customWidth="1"/>
    <col min="10527" max="10527" width="4.42578125" style="2" customWidth="1"/>
    <col min="10528" max="10528" width="15.42578125" style="2" customWidth="1"/>
    <col min="10529" max="10529" width="16" style="2" customWidth="1"/>
    <col min="10530" max="10752" width="9" style="2"/>
    <col min="10753" max="10753" width="2.85546875" style="2" customWidth="1"/>
    <col min="10754" max="10754" width="17.42578125" style="2" customWidth="1"/>
    <col min="10755" max="10755" width="9.140625" style="2" customWidth="1"/>
    <col min="10756" max="10756" width="8.85546875" style="2" customWidth="1"/>
    <col min="10757" max="10757" width="7.85546875" style="2" customWidth="1"/>
    <col min="10758" max="10758" width="8.85546875" style="2" customWidth="1"/>
    <col min="10759" max="10759" width="6.5703125" style="2" customWidth="1"/>
    <col min="10760" max="10760" width="8.42578125" style="2" customWidth="1"/>
    <col min="10761" max="10761" width="7.42578125" style="2" customWidth="1"/>
    <col min="10762" max="10763" width="6" style="2" customWidth="1"/>
    <col min="10764" max="10764" width="0" style="2" hidden="1" customWidth="1"/>
    <col min="10765" max="10766" width="6.85546875" style="2" customWidth="1"/>
    <col min="10767" max="10767" width="8.140625" style="2" customWidth="1"/>
    <col min="10768" max="10769" width="7.85546875" style="2" customWidth="1"/>
    <col min="10770" max="10770" width="0" style="2" hidden="1" customWidth="1"/>
    <col min="10771" max="10772" width="7.42578125" style="2" customWidth="1"/>
    <col min="10773" max="10773" width="0" style="2" hidden="1" customWidth="1"/>
    <col min="10774" max="10774" width="8.140625" style="2" customWidth="1"/>
    <col min="10775" max="10776" width="8.42578125" style="2" customWidth="1"/>
    <col min="10777" max="10777" width="0" style="2" hidden="1" customWidth="1"/>
    <col min="10778" max="10778" width="7.5703125" style="2" customWidth="1"/>
    <col min="10779" max="10779" width="8.42578125" style="2" customWidth="1"/>
    <col min="10780" max="10780" width="0" style="2" hidden="1" customWidth="1"/>
    <col min="10781" max="10782" width="4" style="2" customWidth="1"/>
    <col min="10783" max="10783" width="4.42578125" style="2" customWidth="1"/>
    <col min="10784" max="10784" width="15.42578125" style="2" customWidth="1"/>
    <col min="10785" max="10785" width="16" style="2" customWidth="1"/>
    <col min="10786" max="11008" width="9" style="2"/>
    <col min="11009" max="11009" width="2.85546875" style="2" customWidth="1"/>
    <col min="11010" max="11010" width="17.42578125" style="2" customWidth="1"/>
    <col min="11011" max="11011" width="9.140625" style="2" customWidth="1"/>
    <col min="11012" max="11012" width="8.85546875" style="2" customWidth="1"/>
    <col min="11013" max="11013" width="7.85546875" style="2" customWidth="1"/>
    <col min="11014" max="11014" width="8.85546875" style="2" customWidth="1"/>
    <col min="11015" max="11015" width="6.5703125" style="2" customWidth="1"/>
    <col min="11016" max="11016" width="8.42578125" style="2" customWidth="1"/>
    <col min="11017" max="11017" width="7.42578125" style="2" customWidth="1"/>
    <col min="11018" max="11019" width="6" style="2" customWidth="1"/>
    <col min="11020" max="11020" width="0" style="2" hidden="1" customWidth="1"/>
    <col min="11021" max="11022" width="6.85546875" style="2" customWidth="1"/>
    <col min="11023" max="11023" width="8.140625" style="2" customWidth="1"/>
    <col min="11024" max="11025" width="7.85546875" style="2" customWidth="1"/>
    <col min="11026" max="11026" width="0" style="2" hidden="1" customWidth="1"/>
    <col min="11027" max="11028" width="7.42578125" style="2" customWidth="1"/>
    <col min="11029" max="11029" width="0" style="2" hidden="1" customWidth="1"/>
    <col min="11030" max="11030" width="8.140625" style="2" customWidth="1"/>
    <col min="11031" max="11032" width="8.42578125" style="2" customWidth="1"/>
    <col min="11033" max="11033" width="0" style="2" hidden="1" customWidth="1"/>
    <col min="11034" max="11034" width="7.5703125" style="2" customWidth="1"/>
    <col min="11035" max="11035" width="8.42578125" style="2" customWidth="1"/>
    <col min="11036" max="11036" width="0" style="2" hidden="1" customWidth="1"/>
    <col min="11037" max="11038" width="4" style="2" customWidth="1"/>
    <col min="11039" max="11039" width="4.42578125" style="2" customWidth="1"/>
    <col min="11040" max="11040" width="15.42578125" style="2" customWidth="1"/>
    <col min="11041" max="11041" width="16" style="2" customWidth="1"/>
    <col min="11042" max="11264" width="9" style="2"/>
    <col min="11265" max="11265" width="2.85546875" style="2" customWidth="1"/>
    <col min="11266" max="11266" width="17.42578125" style="2" customWidth="1"/>
    <col min="11267" max="11267" width="9.140625" style="2" customWidth="1"/>
    <col min="11268" max="11268" width="8.85546875" style="2" customWidth="1"/>
    <col min="11269" max="11269" width="7.85546875" style="2" customWidth="1"/>
    <col min="11270" max="11270" width="8.85546875" style="2" customWidth="1"/>
    <col min="11271" max="11271" width="6.5703125" style="2" customWidth="1"/>
    <col min="11272" max="11272" width="8.42578125" style="2" customWidth="1"/>
    <col min="11273" max="11273" width="7.42578125" style="2" customWidth="1"/>
    <col min="11274" max="11275" width="6" style="2" customWidth="1"/>
    <col min="11276" max="11276" width="0" style="2" hidden="1" customWidth="1"/>
    <col min="11277" max="11278" width="6.85546875" style="2" customWidth="1"/>
    <col min="11279" max="11279" width="8.140625" style="2" customWidth="1"/>
    <col min="11280" max="11281" width="7.85546875" style="2" customWidth="1"/>
    <col min="11282" max="11282" width="0" style="2" hidden="1" customWidth="1"/>
    <col min="11283" max="11284" width="7.42578125" style="2" customWidth="1"/>
    <col min="11285" max="11285" width="0" style="2" hidden="1" customWidth="1"/>
    <col min="11286" max="11286" width="8.140625" style="2" customWidth="1"/>
    <col min="11287" max="11288" width="8.42578125" style="2" customWidth="1"/>
    <col min="11289" max="11289" width="0" style="2" hidden="1" customWidth="1"/>
    <col min="11290" max="11290" width="7.5703125" style="2" customWidth="1"/>
    <col min="11291" max="11291" width="8.42578125" style="2" customWidth="1"/>
    <col min="11292" max="11292" width="0" style="2" hidden="1" customWidth="1"/>
    <col min="11293" max="11294" width="4" style="2" customWidth="1"/>
    <col min="11295" max="11295" width="4.42578125" style="2" customWidth="1"/>
    <col min="11296" max="11296" width="15.42578125" style="2" customWidth="1"/>
    <col min="11297" max="11297" width="16" style="2" customWidth="1"/>
    <col min="11298" max="11520" width="9" style="2"/>
    <col min="11521" max="11521" width="2.85546875" style="2" customWidth="1"/>
    <col min="11522" max="11522" width="17.42578125" style="2" customWidth="1"/>
    <col min="11523" max="11523" width="9.140625" style="2" customWidth="1"/>
    <col min="11524" max="11524" width="8.85546875" style="2" customWidth="1"/>
    <col min="11525" max="11525" width="7.85546875" style="2" customWidth="1"/>
    <col min="11526" max="11526" width="8.85546875" style="2" customWidth="1"/>
    <col min="11527" max="11527" width="6.5703125" style="2" customWidth="1"/>
    <col min="11528" max="11528" width="8.42578125" style="2" customWidth="1"/>
    <col min="11529" max="11529" width="7.42578125" style="2" customWidth="1"/>
    <col min="11530" max="11531" width="6" style="2" customWidth="1"/>
    <col min="11532" max="11532" width="0" style="2" hidden="1" customWidth="1"/>
    <col min="11533" max="11534" width="6.85546875" style="2" customWidth="1"/>
    <col min="11535" max="11535" width="8.140625" style="2" customWidth="1"/>
    <col min="11536" max="11537" width="7.85546875" style="2" customWidth="1"/>
    <col min="11538" max="11538" width="0" style="2" hidden="1" customWidth="1"/>
    <col min="11539" max="11540" width="7.42578125" style="2" customWidth="1"/>
    <col min="11541" max="11541" width="0" style="2" hidden="1" customWidth="1"/>
    <col min="11542" max="11542" width="8.140625" style="2" customWidth="1"/>
    <col min="11543" max="11544" width="8.42578125" style="2" customWidth="1"/>
    <col min="11545" max="11545" width="0" style="2" hidden="1" customWidth="1"/>
    <col min="11546" max="11546" width="7.5703125" style="2" customWidth="1"/>
    <col min="11547" max="11547" width="8.42578125" style="2" customWidth="1"/>
    <col min="11548" max="11548" width="0" style="2" hidden="1" customWidth="1"/>
    <col min="11549" max="11550" width="4" style="2" customWidth="1"/>
    <col min="11551" max="11551" width="4.42578125" style="2" customWidth="1"/>
    <col min="11552" max="11552" width="15.42578125" style="2" customWidth="1"/>
    <col min="11553" max="11553" width="16" style="2" customWidth="1"/>
    <col min="11554" max="11776" width="9" style="2"/>
    <col min="11777" max="11777" width="2.85546875" style="2" customWidth="1"/>
    <col min="11778" max="11778" width="17.42578125" style="2" customWidth="1"/>
    <col min="11779" max="11779" width="9.140625" style="2" customWidth="1"/>
    <col min="11780" max="11780" width="8.85546875" style="2" customWidth="1"/>
    <col min="11781" max="11781" width="7.85546875" style="2" customWidth="1"/>
    <col min="11782" max="11782" width="8.85546875" style="2" customWidth="1"/>
    <col min="11783" max="11783" width="6.5703125" style="2" customWidth="1"/>
    <col min="11784" max="11784" width="8.42578125" style="2" customWidth="1"/>
    <col min="11785" max="11785" width="7.42578125" style="2" customWidth="1"/>
    <col min="11786" max="11787" width="6" style="2" customWidth="1"/>
    <col min="11788" max="11788" width="0" style="2" hidden="1" customWidth="1"/>
    <col min="11789" max="11790" width="6.85546875" style="2" customWidth="1"/>
    <col min="11791" max="11791" width="8.140625" style="2" customWidth="1"/>
    <col min="11792" max="11793" width="7.85546875" style="2" customWidth="1"/>
    <col min="11794" max="11794" width="0" style="2" hidden="1" customWidth="1"/>
    <col min="11795" max="11796" width="7.42578125" style="2" customWidth="1"/>
    <col min="11797" max="11797" width="0" style="2" hidden="1" customWidth="1"/>
    <col min="11798" max="11798" width="8.140625" style="2" customWidth="1"/>
    <col min="11799" max="11800" width="8.42578125" style="2" customWidth="1"/>
    <col min="11801" max="11801" width="0" style="2" hidden="1" customWidth="1"/>
    <col min="11802" max="11802" width="7.5703125" style="2" customWidth="1"/>
    <col min="11803" max="11803" width="8.42578125" style="2" customWidth="1"/>
    <col min="11804" max="11804" width="0" style="2" hidden="1" customWidth="1"/>
    <col min="11805" max="11806" width="4" style="2" customWidth="1"/>
    <col min="11807" max="11807" width="4.42578125" style="2" customWidth="1"/>
    <col min="11808" max="11808" width="15.42578125" style="2" customWidth="1"/>
    <col min="11809" max="11809" width="16" style="2" customWidth="1"/>
    <col min="11810" max="12032" width="9" style="2"/>
    <col min="12033" max="12033" width="2.85546875" style="2" customWidth="1"/>
    <col min="12034" max="12034" width="17.42578125" style="2" customWidth="1"/>
    <col min="12035" max="12035" width="9.140625" style="2" customWidth="1"/>
    <col min="12036" max="12036" width="8.85546875" style="2" customWidth="1"/>
    <col min="12037" max="12037" width="7.85546875" style="2" customWidth="1"/>
    <col min="12038" max="12038" width="8.85546875" style="2" customWidth="1"/>
    <col min="12039" max="12039" width="6.5703125" style="2" customWidth="1"/>
    <col min="12040" max="12040" width="8.42578125" style="2" customWidth="1"/>
    <col min="12041" max="12041" width="7.42578125" style="2" customWidth="1"/>
    <col min="12042" max="12043" width="6" style="2" customWidth="1"/>
    <col min="12044" max="12044" width="0" style="2" hidden="1" customWidth="1"/>
    <col min="12045" max="12046" width="6.85546875" style="2" customWidth="1"/>
    <col min="12047" max="12047" width="8.140625" style="2" customWidth="1"/>
    <col min="12048" max="12049" width="7.85546875" style="2" customWidth="1"/>
    <col min="12050" max="12050" width="0" style="2" hidden="1" customWidth="1"/>
    <col min="12051" max="12052" width="7.42578125" style="2" customWidth="1"/>
    <col min="12053" max="12053" width="0" style="2" hidden="1" customWidth="1"/>
    <col min="12054" max="12054" width="8.140625" style="2" customWidth="1"/>
    <col min="12055" max="12056" width="8.42578125" style="2" customWidth="1"/>
    <col min="12057" max="12057" width="0" style="2" hidden="1" customWidth="1"/>
    <col min="12058" max="12058" width="7.5703125" style="2" customWidth="1"/>
    <col min="12059" max="12059" width="8.42578125" style="2" customWidth="1"/>
    <col min="12060" max="12060" width="0" style="2" hidden="1" customWidth="1"/>
    <col min="12061" max="12062" width="4" style="2" customWidth="1"/>
    <col min="12063" max="12063" width="4.42578125" style="2" customWidth="1"/>
    <col min="12064" max="12064" width="15.42578125" style="2" customWidth="1"/>
    <col min="12065" max="12065" width="16" style="2" customWidth="1"/>
    <col min="12066" max="12288" width="9" style="2"/>
    <col min="12289" max="12289" width="2.85546875" style="2" customWidth="1"/>
    <col min="12290" max="12290" width="17.42578125" style="2" customWidth="1"/>
    <col min="12291" max="12291" width="9.140625" style="2" customWidth="1"/>
    <col min="12292" max="12292" width="8.85546875" style="2" customWidth="1"/>
    <col min="12293" max="12293" width="7.85546875" style="2" customWidth="1"/>
    <col min="12294" max="12294" width="8.85546875" style="2" customWidth="1"/>
    <col min="12295" max="12295" width="6.5703125" style="2" customWidth="1"/>
    <col min="12296" max="12296" width="8.42578125" style="2" customWidth="1"/>
    <col min="12297" max="12297" width="7.42578125" style="2" customWidth="1"/>
    <col min="12298" max="12299" width="6" style="2" customWidth="1"/>
    <col min="12300" max="12300" width="0" style="2" hidden="1" customWidth="1"/>
    <col min="12301" max="12302" width="6.85546875" style="2" customWidth="1"/>
    <col min="12303" max="12303" width="8.140625" style="2" customWidth="1"/>
    <col min="12304" max="12305" width="7.85546875" style="2" customWidth="1"/>
    <col min="12306" max="12306" width="0" style="2" hidden="1" customWidth="1"/>
    <col min="12307" max="12308" width="7.42578125" style="2" customWidth="1"/>
    <col min="12309" max="12309" width="0" style="2" hidden="1" customWidth="1"/>
    <col min="12310" max="12310" width="8.140625" style="2" customWidth="1"/>
    <col min="12311" max="12312" width="8.42578125" style="2" customWidth="1"/>
    <col min="12313" max="12313" width="0" style="2" hidden="1" customWidth="1"/>
    <col min="12314" max="12314" width="7.5703125" style="2" customWidth="1"/>
    <col min="12315" max="12315" width="8.42578125" style="2" customWidth="1"/>
    <col min="12316" max="12316" width="0" style="2" hidden="1" customWidth="1"/>
    <col min="12317" max="12318" width="4" style="2" customWidth="1"/>
    <col min="12319" max="12319" width="4.42578125" style="2" customWidth="1"/>
    <col min="12320" max="12320" width="15.42578125" style="2" customWidth="1"/>
    <col min="12321" max="12321" width="16" style="2" customWidth="1"/>
    <col min="12322" max="12544" width="9" style="2"/>
    <col min="12545" max="12545" width="2.85546875" style="2" customWidth="1"/>
    <col min="12546" max="12546" width="17.42578125" style="2" customWidth="1"/>
    <col min="12547" max="12547" width="9.140625" style="2" customWidth="1"/>
    <col min="12548" max="12548" width="8.85546875" style="2" customWidth="1"/>
    <col min="12549" max="12549" width="7.85546875" style="2" customWidth="1"/>
    <col min="12550" max="12550" width="8.85546875" style="2" customWidth="1"/>
    <col min="12551" max="12551" width="6.5703125" style="2" customWidth="1"/>
    <col min="12552" max="12552" width="8.42578125" style="2" customWidth="1"/>
    <col min="12553" max="12553" width="7.42578125" style="2" customWidth="1"/>
    <col min="12554" max="12555" width="6" style="2" customWidth="1"/>
    <col min="12556" max="12556" width="0" style="2" hidden="1" customWidth="1"/>
    <col min="12557" max="12558" width="6.85546875" style="2" customWidth="1"/>
    <col min="12559" max="12559" width="8.140625" style="2" customWidth="1"/>
    <col min="12560" max="12561" width="7.85546875" style="2" customWidth="1"/>
    <col min="12562" max="12562" width="0" style="2" hidden="1" customWidth="1"/>
    <col min="12563" max="12564" width="7.42578125" style="2" customWidth="1"/>
    <col min="12565" max="12565" width="0" style="2" hidden="1" customWidth="1"/>
    <col min="12566" max="12566" width="8.140625" style="2" customWidth="1"/>
    <col min="12567" max="12568" width="8.42578125" style="2" customWidth="1"/>
    <col min="12569" max="12569" width="0" style="2" hidden="1" customWidth="1"/>
    <col min="12570" max="12570" width="7.5703125" style="2" customWidth="1"/>
    <col min="12571" max="12571" width="8.42578125" style="2" customWidth="1"/>
    <col min="12572" max="12572" width="0" style="2" hidden="1" customWidth="1"/>
    <col min="12573" max="12574" width="4" style="2" customWidth="1"/>
    <col min="12575" max="12575" width="4.42578125" style="2" customWidth="1"/>
    <col min="12576" max="12576" width="15.42578125" style="2" customWidth="1"/>
    <col min="12577" max="12577" width="16" style="2" customWidth="1"/>
    <col min="12578" max="12800" width="9" style="2"/>
    <col min="12801" max="12801" width="2.85546875" style="2" customWidth="1"/>
    <col min="12802" max="12802" width="17.42578125" style="2" customWidth="1"/>
    <col min="12803" max="12803" width="9.140625" style="2" customWidth="1"/>
    <col min="12804" max="12804" width="8.85546875" style="2" customWidth="1"/>
    <col min="12805" max="12805" width="7.85546875" style="2" customWidth="1"/>
    <col min="12806" max="12806" width="8.85546875" style="2" customWidth="1"/>
    <col min="12807" max="12807" width="6.5703125" style="2" customWidth="1"/>
    <col min="12808" max="12808" width="8.42578125" style="2" customWidth="1"/>
    <col min="12809" max="12809" width="7.42578125" style="2" customWidth="1"/>
    <col min="12810" max="12811" width="6" style="2" customWidth="1"/>
    <col min="12812" max="12812" width="0" style="2" hidden="1" customWidth="1"/>
    <col min="12813" max="12814" width="6.85546875" style="2" customWidth="1"/>
    <col min="12815" max="12815" width="8.140625" style="2" customWidth="1"/>
    <col min="12816" max="12817" width="7.85546875" style="2" customWidth="1"/>
    <col min="12818" max="12818" width="0" style="2" hidden="1" customWidth="1"/>
    <col min="12819" max="12820" width="7.42578125" style="2" customWidth="1"/>
    <col min="12821" max="12821" width="0" style="2" hidden="1" customWidth="1"/>
    <col min="12822" max="12822" width="8.140625" style="2" customWidth="1"/>
    <col min="12823" max="12824" width="8.42578125" style="2" customWidth="1"/>
    <col min="12825" max="12825" width="0" style="2" hidden="1" customWidth="1"/>
    <col min="12826" max="12826" width="7.5703125" style="2" customWidth="1"/>
    <col min="12827" max="12827" width="8.42578125" style="2" customWidth="1"/>
    <col min="12828" max="12828" width="0" style="2" hidden="1" customWidth="1"/>
    <col min="12829" max="12830" width="4" style="2" customWidth="1"/>
    <col min="12831" max="12831" width="4.42578125" style="2" customWidth="1"/>
    <col min="12832" max="12832" width="15.42578125" style="2" customWidth="1"/>
    <col min="12833" max="12833" width="16" style="2" customWidth="1"/>
    <col min="12834" max="13056" width="9" style="2"/>
    <col min="13057" max="13057" width="2.85546875" style="2" customWidth="1"/>
    <col min="13058" max="13058" width="17.42578125" style="2" customWidth="1"/>
    <col min="13059" max="13059" width="9.140625" style="2" customWidth="1"/>
    <col min="13060" max="13060" width="8.85546875" style="2" customWidth="1"/>
    <col min="13061" max="13061" width="7.85546875" style="2" customWidth="1"/>
    <col min="13062" max="13062" width="8.85546875" style="2" customWidth="1"/>
    <col min="13063" max="13063" width="6.5703125" style="2" customWidth="1"/>
    <col min="13064" max="13064" width="8.42578125" style="2" customWidth="1"/>
    <col min="13065" max="13065" width="7.42578125" style="2" customWidth="1"/>
    <col min="13066" max="13067" width="6" style="2" customWidth="1"/>
    <col min="13068" max="13068" width="0" style="2" hidden="1" customWidth="1"/>
    <col min="13069" max="13070" width="6.85546875" style="2" customWidth="1"/>
    <col min="13071" max="13071" width="8.140625" style="2" customWidth="1"/>
    <col min="13072" max="13073" width="7.85546875" style="2" customWidth="1"/>
    <col min="13074" max="13074" width="0" style="2" hidden="1" customWidth="1"/>
    <col min="13075" max="13076" width="7.42578125" style="2" customWidth="1"/>
    <col min="13077" max="13077" width="0" style="2" hidden="1" customWidth="1"/>
    <col min="13078" max="13078" width="8.140625" style="2" customWidth="1"/>
    <col min="13079" max="13080" width="8.42578125" style="2" customWidth="1"/>
    <col min="13081" max="13081" width="0" style="2" hidden="1" customWidth="1"/>
    <col min="13082" max="13082" width="7.5703125" style="2" customWidth="1"/>
    <col min="13083" max="13083" width="8.42578125" style="2" customWidth="1"/>
    <col min="13084" max="13084" width="0" style="2" hidden="1" customWidth="1"/>
    <col min="13085" max="13086" width="4" style="2" customWidth="1"/>
    <col min="13087" max="13087" width="4.42578125" style="2" customWidth="1"/>
    <col min="13088" max="13088" width="15.42578125" style="2" customWidth="1"/>
    <col min="13089" max="13089" width="16" style="2" customWidth="1"/>
    <col min="13090" max="13312" width="9" style="2"/>
    <col min="13313" max="13313" width="2.85546875" style="2" customWidth="1"/>
    <col min="13314" max="13314" width="17.42578125" style="2" customWidth="1"/>
    <col min="13315" max="13315" width="9.140625" style="2" customWidth="1"/>
    <col min="13316" max="13316" width="8.85546875" style="2" customWidth="1"/>
    <col min="13317" max="13317" width="7.85546875" style="2" customWidth="1"/>
    <col min="13318" max="13318" width="8.85546875" style="2" customWidth="1"/>
    <col min="13319" max="13319" width="6.5703125" style="2" customWidth="1"/>
    <col min="13320" max="13320" width="8.42578125" style="2" customWidth="1"/>
    <col min="13321" max="13321" width="7.42578125" style="2" customWidth="1"/>
    <col min="13322" max="13323" width="6" style="2" customWidth="1"/>
    <col min="13324" max="13324" width="0" style="2" hidden="1" customWidth="1"/>
    <col min="13325" max="13326" width="6.85546875" style="2" customWidth="1"/>
    <col min="13327" max="13327" width="8.140625" style="2" customWidth="1"/>
    <col min="13328" max="13329" width="7.85546875" style="2" customWidth="1"/>
    <col min="13330" max="13330" width="0" style="2" hidden="1" customWidth="1"/>
    <col min="13331" max="13332" width="7.42578125" style="2" customWidth="1"/>
    <col min="13333" max="13333" width="0" style="2" hidden="1" customWidth="1"/>
    <col min="13334" max="13334" width="8.140625" style="2" customWidth="1"/>
    <col min="13335" max="13336" width="8.42578125" style="2" customWidth="1"/>
    <col min="13337" max="13337" width="0" style="2" hidden="1" customWidth="1"/>
    <col min="13338" max="13338" width="7.5703125" style="2" customWidth="1"/>
    <col min="13339" max="13339" width="8.42578125" style="2" customWidth="1"/>
    <col min="13340" max="13340" width="0" style="2" hidden="1" customWidth="1"/>
    <col min="13341" max="13342" width="4" style="2" customWidth="1"/>
    <col min="13343" max="13343" width="4.42578125" style="2" customWidth="1"/>
    <col min="13344" max="13344" width="15.42578125" style="2" customWidth="1"/>
    <col min="13345" max="13345" width="16" style="2" customWidth="1"/>
    <col min="13346" max="13568" width="9" style="2"/>
    <col min="13569" max="13569" width="2.85546875" style="2" customWidth="1"/>
    <col min="13570" max="13570" width="17.42578125" style="2" customWidth="1"/>
    <col min="13571" max="13571" width="9.140625" style="2" customWidth="1"/>
    <col min="13572" max="13572" width="8.85546875" style="2" customWidth="1"/>
    <col min="13573" max="13573" width="7.85546875" style="2" customWidth="1"/>
    <col min="13574" max="13574" width="8.85546875" style="2" customWidth="1"/>
    <col min="13575" max="13575" width="6.5703125" style="2" customWidth="1"/>
    <col min="13576" max="13576" width="8.42578125" style="2" customWidth="1"/>
    <col min="13577" max="13577" width="7.42578125" style="2" customWidth="1"/>
    <col min="13578" max="13579" width="6" style="2" customWidth="1"/>
    <col min="13580" max="13580" width="0" style="2" hidden="1" customWidth="1"/>
    <col min="13581" max="13582" width="6.85546875" style="2" customWidth="1"/>
    <col min="13583" max="13583" width="8.140625" style="2" customWidth="1"/>
    <col min="13584" max="13585" width="7.85546875" style="2" customWidth="1"/>
    <col min="13586" max="13586" width="0" style="2" hidden="1" customWidth="1"/>
    <col min="13587" max="13588" width="7.42578125" style="2" customWidth="1"/>
    <col min="13589" max="13589" width="0" style="2" hidden="1" customWidth="1"/>
    <col min="13590" max="13590" width="8.140625" style="2" customWidth="1"/>
    <col min="13591" max="13592" width="8.42578125" style="2" customWidth="1"/>
    <col min="13593" max="13593" width="0" style="2" hidden="1" customWidth="1"/>
    <col min="13594" max="13594" width="7.5703125" style="2" customWidth="1"/>
    <col min="13595" max="13595" width="8.42578125" style="2" customWidth="1"/>
    <col min="13596" max="13596" width="0" style="2" hidden="1" customWidth="1"/>
    <col min="13597" max="13598" width="4" style="2" customWidth="1"/>
    <col min="13599" max="13599" width="4.42578125" style="2" customWidth="1"/>
    <col min="13600" max="13600" width="15.42578125" style="2" customWidth="1"/>
    <col min="13601" max="13601" width="16" style="2" customWidth="1"/>
    <col min="13602" max="13824" width="9" style="2"/>
    <col min="13825" max="13825" width="2.85546875" style="2" customWidth="1"/>
    <col min="13826" max="13826" width="17.42578125" style="2" customWidth="1"/>
    <col min="13827" max="13827" width="9.140625" style="2" customWidth="1"/>
    <col min="13828" max="13828" width="8.85546875" style="2" customWidth="1"/>
    <col min="13829" max="13829" width="7.85546875" style="2" customWidth="1"/>
    <col min="13830" max="13830" width="8.85546875" style="2" customWidth="1"/>
    <col min="13831" max="13831" width="6.5703125" style="2" customWidth="1"/>
    <col min="13832" max="13832" width="8.42578125" style="2" customWidth="1"/>
    <col min="13833" max="13833" width="7.42578125" style="2" customWidth="1"/>
    <col min="13834" max="13835" width="6" style="2" customWidth="1"/>
    <col min="13836" max="13836" width="0" style="2" hidden="1" customWidth="1"/>
    <col min="13837" max="13838" width="6.85546875" style="2" customWidth="1"/>
    <col min="13839" max="13839" width="8.140625" style="2" customWidth="1"/>
    <col min="13840" max="13841" width="7.85546875" style="2" customWidth="1"/>
    <col min="13842" max="13842" width="0" style="2" hidden="1" customWidth="1"/>
    <col min="13843" max="13844" width="7.42578125" style="2" customWidth="1"/>
    <col min="13845" max="13845" width="0" style="2" hidden="1" customWidth="1"/>
    <col min="13846" max="13846" width="8.140625" style="2" customWidth="1"/>
    <col min="13847" max="13848" width="8.42578125" style="2" customWidth="1"/>
    <col min="13849" max="13849" width="0" style="2" hidden="1" customWidth="1"/>
    <col min="13850" max="13850" width="7.5703125" style="2" customWidth="1"/>
    <col min="13851" max="13851" width="8.42578125" style="2" customWidth="1"/>
    <col min="13852" max="13852" width="0" style="2" hidden="1" customWidth="1"/>
    <col min="13853" max="13854" width="4" style="2" customWidth="1"/>
    <col min="13855" max="13855" width="4.42578125" style="2" customWidth="1"/>
    <col min="13856" max="13856" width="15.42578125" style="2" customWidth="1"/>
    <col min="13857" max="13857" width="16" style="2" customWidth="1"/>
    <col min="13858" max="14080" width="9" style="2"/>
    <col min="14081" max="14081" width="2.85546875" style="2" customWidth="1"/>
    <col min="14082" max="14082" width="17.42578125" style="2" customWidth="1"/>
    <col min="14083" max="14083" width="9.140625" style="2" customWidth="1"/>
    <col min="14084" max="14084" width="8.85546875" style="2" customWidth="1"/>
    <col min="14085" max="14085" width="7.85546875" style="2" customWidth="1"/>
    <col min="14086" max="14086" width="8.85546875" style="2" customWidth="1"/>
    <col min="14087" max="14087" width="6.5703125" style="2" customWidth="1"/>
    <col min="14088" max="14088" width="8.42578125" style="2" customWidth="1"/>
    <col min="14089" max="14089" width="7.42578125" style="2" customWidth="1"/>
    <col min="14090" max="14091" width="6" style="2" customWidth="1"/>
    <col min="14092" max="14092" width="0" style="2" hidden="1" customWidth="1"/>
    <col min="14093" max="14094" width="6.85546875" style="2" customWidth="1"/>
    <col min="14095" max="14095" width="8.140625" style="2" customWidth="1"/>
    <col min="14096" max="14097" width="7.85546875" style="2" customWidth="1"/>
    <col min="14098" max="14098" width="0" style="2" hidden="1" customWidth="1"/>
    <col min="14099" max="14100" width="7.42578125" style="2" customWidth="1"/>
    <col min="14101" max="14101" width="0" style="2" hidden="1" customWidth="1"/>
    <col min="14102" max="14102" width="8.140625" style="2" customWidth="1"/>
    <col min="14103" max="14104" width="8.42578125" style="2" customWidth="1"/>
    <col min="14105" max="14105" width="0" style="2" hidden="1" customWidth="1"/>
    <col min="14106" max="14106" width="7.5703125" style="2" customWidth="1"/>
    <col min="14107" max="14107" width="8.42578125" style="2" customWidth="1"/>
    <col min="14108" max="14108" width="0" style="2" hidden="1" customWidth="1"/>
    <col min="14109" max="14110" width="4" style="2" customWidth="1"/>
    <col min="14111" max="14111" width="4.42578125" style="2" customWidth="1"/>
    <col min="14112" max="14112" width="15.42578125" style="2" customWidth="1"/>
    <col min="14113" max="14113" width="16" style="2" customWidth="1"/>
    <col min="14114" max="14336" width="9" style="2"/>
    <col min="14337" max="14337" width="2.85546875" style="2" customWidth="1"/>
    <col min="14338" max="14338" width="17.42578125" style="2" customWidth="1"/>
    <col min="14339" max="14339" width="9.140625" style="2" customWidth="1"/>
    <col min="14340" max="14340" width="8.85546875" style="2" customWidth="1"/>
    <col min="14341" max="14341" width="7.85546875" style="2" customWidth="1"/>
    <col min="14342" max="14342" width="8.85546875" style="2" customWidth="1"/>
    <col min="14343" max="14343" width="6.5703125" style="2" customWidth="1"/>
    <col min="14344" max="14344" width="8.42578125" style="2" customWidth="1"/>
    <col min="14345" max="14345" width="7.42578125" style="2" customWidth="1"/>
    <col min="14346" max="14347" width="6" style="2" customWidth="1"/>
    <col min="14348" max="14348" width="0" style="2" hidden="1" customWidth="1"/>
    <col min="14349" max="14350" width="6.85546875" style="2" customWidth="1"/>
    <col min="14351" max="14351" width="8.140625" style="2" customWidth="1"/>
    <col min="14352" max="14353" width="7.85546875" style="2" customWidth="1"/>
    <col min="14354" max="14354" width="0" style="2" hidden="1" customWidth="1"/>
    <col min="14355" max="14356" width="7.42578125" style="2" customWidth="1"/>
    <col min="14357" max="14357" width="0" style="2" hidden="1" customWidth="1"/>
    <col min="14358" max="14358" width="8.140625" style="2" customWidth="1"/>
    <col min="14359" max="14360" width="8.42578125" style="2" customWidth="1"/>
    <col min="14361" max="14361" width="0" style="2" hidden="1" customWidth="1"/>
    <col min="14362" max="14362" width="7.5703125" style="2" customWidth="1"/>
    <col min="14363" max="14363" width="8.42578125" style="2" customWidth="1"/>
    <col min="14364" max="14364" width="0" style="2" hidden="1" customWidth="1"/>
    <col min="14365" max="14366" width="4" style="2" customWidth="1"/>
    <col min="14367" max="14367" width="4.42578125" style="2" customWidth="1"/>
    <col min="14368" max="14368" width="15.42578125" style="2" customWidth="1"/>
    <col min="14369" max="14369" width="16" style="2" customWidth="1"/>
    <col min="14370" max="14592" width="9" style="2"/>
    <col min="14593" max="14593" width="2.85546875" style="2" customWidth="1"/>
    <col min="14594" max="14594" width="17.42578125" style="2" customWidth="1"/>
    <col min="14595" max="14595" width="9.140625" style="2" customWidth="1"/>
    <col min="14596" max="14596" width="8.85546875" style="2" customWidth="1"/>
    <col min="14597" max="14597" width="7.85546875" style="2" customWidth="1"/>
    <col min="14598" max="14598" width="8.85546875" style="2" customWidth="1"/>
    <col min="14599" max="14599" width="6.5703125" style="2" customWidth="1"/>
    <col min="14600" max="14600" width="8.42578125" style="2" customWidth="1"/>
    <col min="14601" max="14601" width="7.42578125" style="2" customWidth="1"/>
    <col min="14602" max="14603" width="6" style="2" customWidth="1"/>
    <col min="14604" max="14604" width="0" style="2" hidden="1" customWidth="1"/>
    <col min="14605" max="14606" width="6.85546875" style="2" customWidth="1"/>
    <col min="14607" max="14607" width="8.140625" style="2" customWidth="1"/>
    <col min="14608" max="14609" width="7.85546875" style="2" customWidth="1"/>
    <col min="14610" max="14610" width="0" style="2" hidden="1" customWidth="1"/>
    <col min="14611" max="14612" width="7.42578125" style="2" customWidth="1"/>
    <col min="14613" max="14613" width="0" style="2" hidden="1" customWidth="1"/>
    <col min="14614" max="14614" width="8.140625" style="2" customWidth="1"/>
    <col min="14615" max="14616" width="8.42578125" style="2" customWidth="1"/>
    <col min="14617" max="14617" width="0" style="2" hidden="1" customWidth="1"/>
    <col min="14618" max="14618" width="7.5703125" style="2" customWidth="1"/>
    <col min="14619" max="14619" width="8.42578125" style="2" customWidth="1"/>
    <col min="14620" max="14620" width="0" style="2" hidden="1" customWidth="1"/>
    <col min="14621" max="14622" width="4" style="2" customWidth="1"/>
    <col min="14623" max="14623" width="4.42578125" style="2" customWidth="1"/>
    <col min="14624" max="14624" width="15.42578125" style="2" customWidth="1"/>
    <col min="14625" max="14625" width="16" style="2" customWidth="1"/>
    <col min="14626" max="14848" width="9" style="2"/>
    <col min="14849" max="14849" width="2.85546875" style="2" customWidth="1"/>
    <col min="14850" max="14850" width="17.42578125" style="2" customWidth="1"/>
    <col min="14851" max="14851" width="9.140625" style="2" customWidth="1"/>
    <col min="14852" max="14852" width="8.85546875" style="2" customWidth="1"/>
    <col min="14853" max="14853" width="7.85546875" style="2" customWidth="1"/>
    <col min="14854" max="14854" width="8.85546875" style="2" customWidth="1"/>
    <col min="14855" max="14855" width="6.5703125" style="2" customWidth="1"/>
    <col min="14856" max="14856" width="8.42578125" style="2" customWidth="1"/>
    <col min="14857" max="14857" width="7.42578125" style="2" customWidth="1"/>
    <col min="14858" max="14859" width="6" style="2" customWidth="1"/>
    <col min="14860" max="14860" width="0" style="2" hidden="1" customWidth="1"/>
    <col min="14861" max="14862" width="6.85546875" style="2" customWidth="1"/>
    <col min="14863" max="14863" width="8.140625" style="2" customWidth="1"/>
    <col min="14864" max="14865" width="7.85546875" style="2" customWidth="1"/>
    <col min="14866" max="14866" width="0" style="2" hidden="1" customWidth="1"/>
    <col min="14867" max="14868" width="7.42578125" style="2" customWidth="1"/>
    <col min="14869" max="14869" width="0" style="2" hidden="1" customWidth="1"/>
    <col min="14870" max="14870" width="8.140625" style="2" customWidth="1"/>
    <col min="14871" max="14872" width="8.42578125" style="2" customWidth="1"/>
    <col min="14873" max="14873" width="0" style="2" hidden="1" customWidth="1"/>
    <col min="14874" max="14874" width="7.5703125" style="2" customWidth="1"/>
    <col min="14875" max="14875" width="8.42578125" style="2" customWidth="1"/>
    <col min="14876" max="14876" width="0" style="2" hidden="1" customWidth="1"/>
    <col min="14877" max="14878" width="4" style="2" customWidth="1"/>
    <col min="14879" max="14879" width="4.42578125" style="2" customWidth="1"/>
    <col min="14880" max="14880" width="15.42578125" style="2" customWidth="1"/>
    <col min="14881" max="14881" width="16" style="2" customWidth="1"/>
    <col min="14882" max="15104" width="9" style="2"/>
    <col min="15105" max="15105" width="2.85546875" style="2" customWidth="1"/>
    <col min="15106" max="15106" width="17.42578125" style="2" customWidth="1"/>
    <col min="15107" max="15107" width="9.140625" style="2" customWidth="1"/>
    <col min="15108" max="15108" width="8.85546875" style="2" customWidth="1"/>
    <col min="15109" max="15109" width="7.85546875" style="2" customWidth="1"/>
    <col min="15110" max="15110" width="8.85546875" style="2" customWidth="1"/>
    <col min="15111" max="15111" width="6.5703125" style="2" customWidth="1"/>
    <col min="15112" max="15112" width="8.42578125" style="2" customWidth="1"/>
    <col min="15113" max="15113" width="7.42578125" style="2" customWidth="1"/>
    <col min="15114" max="15115" width="6" style="2" customWidth="1"/>
    <col min="15116" max="15116" width="0" style="2" hidden="1" customWidth="1"/>
    <col min="15117" max="15118" width="6.85546875" style="2" customWidth="1"/>
    <col min="15119" max="15119" width="8.140625" style="2" customWidth="1"/>
    <col min="15120" max="15121" width="7.85546875" style="2" customWidth="1"/>
    <col min="15122" max="15122" width="0" style="2" hidden="1" customWidth="1"/>
    <col min="15123" max="15124" width="7.42578125" style="2" customWidth="1"/>
    <col min="15125" max="15125" width="0" style="2" hidden="1" customWidth="1"/>
    <col min="15126" max="15126" width="8.140625" style="2" customWidth="1"/>
    <col min="15127" max="15128" width="8.42578125" style="2" customWidth="1"/>
    <col min="15129" max="15129" width="0" style="2" hidden="1" customWidth="1"/>
    <col min="15130" max="15130" width="7.5703125" style="2" customWidth="1"/>
    <col min="15131" max="15131" width="8.42578125" style="2" customWidth="1"/>
    <col min="15132" max="15132" width="0" style="2" hidden="1" customWidth="1"/>
    <col min="15133" max="15134" width="4" style="2" customWidth="1"/>
    <col min="15135" max="15135" width="4.42578125" style="2" customWidth="1"/>
    <col min="15136" max="15136" width="15.42578125" style="2" customWidth="1"/>
    <col min="15137" max="15137" width="16" style="2" customWidth="1"/>
    <col min="15138" max="15360" width="9" style="2"/>
    <col min="15361" max="15361" width="2.85546875" style="2" customWidth="1"/>
    <col min="15362" max="15362" width="17.42578125" style="2" customWidth="1"/>
    <col min="15363" max="15363" width="9.140625" style="2" customWidth="1"/>
    <col min="15364" max="15364" width="8.85546875" style="2" customWidth="1"/>
    <col min="15365" max="15365" width="7.85546875" style="2" customWidth="1"/>
    <col min="15366" max="15366" width="8.85546875" style="2" customWidth="1"/>
    <col min="15367" max="15367" width="6.5703125" style="2" customWidth="1"/>
    <col min="15368" max="15368" width="8.42578125" style="2" customWidth="1"/>
    <col min="15369" max="15369" width="7.42578125" style="2" customWidth="1"/>
    <col min="15370" max="15371" width="6" style="2" customWidth="1"/>
    <col min="15372" max="15372" width="0" style="2" hidden="1" customWidth="1"/>
    <col min="15373" max="15374" width="6.85546875" style="2" customWidth="1"/>
    <col min="15375" max="15375" width="8.140625" style="2" customWidth="1"/>
    <col min="15376" max="15377" width="7.85546875" style="2" customWidth="1"/>
    <col min="15378" max="15378" width="0" style="2" hidden="1" customWidth="1"/>
    <col min="15379" max="15380" width="7.42578125" style="2" customWidth="1"/>
    <col min="15381" max="15381" width="0" style="2" hidden="1" customWidth="1"/>
    <col min="15382" max="15382" width="8.140625" style="2" customWidth="1"/>
    <col min="15383" max="15384" width="8.42578125" style="2" customWidth="1"/>
    <col min="15385" max="15385" width="0" style="2" hidden="1" customWidth="1"/>
    <col min="15386" max="15386" width="7.5703125" style="2" customWidth="1"/>
    <col min="15387" max="15387" width="8.42578125" style="2" customWidth="1"/>
    <col min="15388" max="15388" width="0" style="2" hidden="1" customWidth="1"/>
    <col min="15389" max="15390" width="4" style="2" customWidth="1"/>
    <col min="15391" max="15391" width="4.42578125" style="2" customWidth="1"/>
    <col min="15392" max="15392" width="15.42578125" style="2" customWidth="1"/>
    <col min="15393" max="15393" width="16" style="2" customWidth="1"/>
    <col min="15394" max="15616" width="9" style="2"/>
    <col min="15617" max="15617" width="2.85546875" style="2" customWidth="1"/>
    <col min="15618" max="15618" width="17.42578125" style="2" customWidth="1"/>
    <col min="15619" max="15619" width="9.140625" style="2" customWidth="1"/>
    <col min="15620" max="15620" width="8.85546875" style="2" customWidth="1"/>
    <col min="15621" max="15621" width="7.85546875" style="2" customWidth="1"/>
    <col min="15622" max="15622" width="8.85546875" style="2" customWidth="1"/>
    <col min="15623" max="15623" width="6.5703125" style="2" customWidth="1"/>
    <col min="15624" max="15624" width="8.42578125" style="2" customWidth="1"/>
    <col min="15625" max="15625" width="7.42578125" style="2" customWidth="1"/>
    <col min="15626" max="15627" width="6" style="2" customWidth="1"/>
    <col min="15628" max="15628" width="0" style="2" hidden="1" customWidth="1"/>
    <col min="15629" max="15630" width="6.85546875" style="2" customWidth="1"/>
    <col min="15631" max="15631" width="8.140625" style="2" customWidth="1"/>
    <col min="15632" max="15633" width="7.85546875" style="2" customWidth="1"/>
    <col min="15634" max="15634" width="0" style="2" hidden="1" customWidth="1"/>
    <col min="15635" max="15636" width="7.42578125" style="2" customWidth="1"/>
    <col min="15637" max="15637" width="0" style="2" hidden="1" customWidth="1"/>
    <col min="15638" max="15638" width="8.140625" style="2" customWidth="1"/>
    <col min="15639" max="15640" width="8.42578125" style="2" customWidth="1"/>
    <col min="15641" max="15641" width="0" style="2" hidden="1" customWidth="1"/>
    <col min="15642" max="15642" width="7.5703125" style="2" customWidth="1"/>
    <col min="15643" max="15643" width="8.42578125" style="2" customWidth="1"/>
    <col min="15644" max="15644" width="0" style="2" hidden="1" customWidth="1"/>
    <col min="15645" max="15646" width="4" style="2" customWidth="1"/>
    <col min="15647" max="15647" width="4.42578125" style="2" customWidth="1"/>
    <col min="15648" max="15648" width="15.42578125" style="2" customWidth="1"/>
    <col min="15649" max="15649" width="16" style="2" customWidth="1"/>
    <col min="15650" max="15872" width="9" style="2"/>
    <col min="15873" max="15873" width="2.85546875" style="2" customWidth="1"/>
    <col min="15874" max="15874" width="17.42578125" style="2" customWidth="1"/>
    <col min="15875" max="15875" width="9.140625" style="2" customWidth="1"/>
    <col min="15876" max="15876" width="8.85546875" style="2" customWidth="1"/>
    <col min="15877" max="15877" width="7.85546875" style="2" customWidth="1"/>
    <col min="15878" max="15878" width="8.85546875" style="2" customWidth="1"/>
    <col min="15879" max="15879" width="6.5703125" style="2" customWidth="1"/>
    <col min="15880" max="15880" width="8.42578125" style="2" customWidth="1"/>
    <col min="15881" max="15881" width="7.42578125" style="2" customWidth="1"/>
    <col min="15882" max="15883" width="6" style="2" customWidth="1"/>
    <col min="15884" max="15884" width="0" style="2" hidden="1" customWidth="1"/>
    <col min="15885" max="15886" width="6.85546875" style="2" customWidth="1"/>
    <col min="15887" max="15887" width="8.140625" style="2" customWidth="1"/>
    <col min="15888" max="15889" width="7.85546875" style="2" customWidth="1"/>
    <col min="15890" max="15890" width="0" style="2" hidden="1" customWidth="1"/>
    <col min="15891" max="15892" width="7.42578125" style="2" customWidth="1"/>
    <col min="15893" max="15893" width="0" style="2" hidden="1" customWidth="1"/>
    <col min="15894" max="15894" width="8.140625" style="2" customWidth="1"/>
    <col min="15895" max="15896" width="8.42578125" style="2" customWidth="1"/>
    <col min="15897" max="15897" width="0" style="2" hidden="1" customWidth="1"/>
    <col min="15898" max="15898" width="7.5703125" style="2" customWidth="1"/>
    <col min="15899" max="15899" width="8.42578125" style="2" customWidth="1"/>
    <col min="15900" max="15900" width="0" style="2" hidden="1" customWidth="1"/>
    <col min="15901" max="15902" width="4" style="2" customWidth="1"/>
    <col min="15903" max="15903" width="4.42578125" style="2" customWidth="1"/>
    <col min="15904" max="15904" width="15.42578125" style="2" customWidth="1"/>
    <col min="15905" max="15905" width="16" style="2" customWidth="1"/>
    <col min="15906" max="16128" width="9" style="2"/>
    <col min="16129" max="16129" width="2.85546875" style="2" customWidth="1"/>
    <col min="16130" max="16130" width="17.42578125" style="2" customWidth="1"/>
    <col min="16131" max="16131" width="9.140625" style="2" customWidth="1"/>
    <col min="16132" max="16132" width="8.85546875" style="2" customWidth="1"/>
    <col min="16133" max="16133" width="7.85546875" style="2" customWidth="1"/>
    <col min="16134" max="16134" width="8.85546875" style="2" customWidth="1"/>
    <col min="16135" max="16135" width="6.5703125" style="2" customWidth="1"/>
    <col min="16136" max="16136" width="8.42578125" style="2" customWidth="1"/>
    <col min="16137" max="16137" width="7.42578125" style="2" customWidth="1"/>
    <col min="16138" max="16139" width="6" style="2" customWidth="1"/>
    <col min="16140" max="16140" width="0" style="2" hidden="1" customWidth="1"/>
    <col min="16141" max="16142" width="6.85546875" style="2" customWidth="1"/>
    <col min="16143" max="16143" width="8.140625" style="2" customWidth="1"/>
    <col min="16144" max="16145" width="7.85546875" style="2" customWidth="1"/>
    <col min="16146" max="16146" width="0" style="2" hidden="1" customWidth="1"/>
    <col min="16147" max="16148" width="7.42578125" style="2" customWidth="1"/>
    <col min="16149" max="16149" width="0" style="2" hidden="1" customWidth="1"/>
    <col min="16150" max="16150" width="8.140625" style="2" customWidth="1"/>
    <col min="16151" max="16152" width="8.42578125" style="2" customWidth="1"/>
    <col min="16153" max="16153" width="0" style="2" hidden="1" customWidth="1"/>
    <col min="16154" max="16154" width="7.5703125" style="2" customWidth="1"/>
    <col min="16155" max="16155" width="8.42578125" style="2" customWidth="1"/>
    <col min="16156" max="16156" width="0" style="2" hidden="1" customWidth="1"/>
    <col min="16157" max="16158" width="4" style="2" customWidth="1"/>
    <col min="16159" max="16159" width="4.42578125" style="2" customWidth="1"/>
    <col min="16160" max="16160" width="15.42578125" style="2" customWidth="1"/>
    <col min="16161" max="16161" width="16" style="2" customWidth="1"/>
    <col min="16162" max="16384" width="9" style="2"/>
  </cols>
  <sheetData>
    <row r="1" spans="1:34" ht="15.6" customHeight="1" x14ac:dyDescent="0.25">
      <c r="A1" s="600" t="s">
        <v>606</v>
      </c>
      <c r="B1" s="600"/>
      <c r="C1" s="600"/>
      <c r="D1" s="600"/>
      <c r="E1" s="600"/>
      <c r="F1" s="600"/>
      <c r="G1" s="600"/>
      <c r="H1" s="600"/>
      <c r="I1" s="600"/>
      <c r="J1" s="600"/>
      <c r="K1" s="600"/>
      <c r="L1" s="600"/>
      <c r="M1" s="600"/>
      <c r="N1" s="600"/>
      <c r="O1" s="600"/>
      <c r="P1" s="600"/>
      <c r="Q1" s="600"/>
      <c r="R1" s="600"/>
      <c r="S1" s="600"/>
      <c r="T1" s="600"/>
      <c r="U1" s="600"/>
      <c r="V1" s="600"/>
      <c r="W1" s="600"/>
      <c r="X1" s="600"/>
      <c r="Y1" s="600"/>
      <c r="Z1" s="600"/>
      <c r="AA1" s="600"/>
      <c r="AB1" s="600"/>
      <c r="AC1" s="600"/>
      <c r="AD1" s="600"/>
      <c r="AE1" s="600"/>
    </row>
    <row r="2" spans="1:34" s="303" customFormat="1" ht="18.75" x14ac:dyDescent="0.3">
      <c r="A2" s="601" t="s">
        <v>524</v>
      </c>
      <c r="B2" s="601"/>
      <c r="C2" s="601"/>
      <c r="D2" s="601"/>
      <c r="E2" s="601"/>
      <c r="F2" s="601"/>
      <c r="G2" s="601"/>
      <c r="H2" s="601"/>
      <c r="I2" s="601"/>
      <c r="J2" s="601"/>
      <c r="K2" s="601"/>
      <c r="L2" s="601"/>
      <c r="M2" s="601"/>
      <c r="N2" s="601"/>
      <c r="O2" s="601"/>
      <c r="P2" s="601"/>
      <c r="Q2" s="601"/>
      <c r="R2" s="601"/>
      <c r="S2" s="601"/>
      <c r="T2" s="601"/>
      <c r="U2" s="601"/>
      <c r="V2" s="601"/>
      <c r="W2" s="601"/>
      <c r="X2" s="601"/>
      <c r="Y2" s="601"/>
      <c r="Z2" s="601"/>
      <c r="AA2" s="601"/>
      <c r="AB2" s="601"/>
      <c r="AC2" s="601"/>
      <c r="AD2" s="601"/>
      <c r="AE2" s="601"/>
    </row>
    <row r="3" spans="1:34" s="303" customFormat="1" ht="18.75" x14ac:dyDescent="0.3">
      <c r="A3" s="602" t="str">
        <f>'59'!A4</f>
        <v>(Kèm theo Nghị quyết số 13/NQ-HĐND ngày 25 tháng 3 năm 2026 của HĐND  xã Quỳnh Nhai)</v>
      </c>
      <c r="B3" s="602"/>
      <c r="C3" s="602"/>
      <c r="D3" s="602"/>
      <c r="E3" s="602"/>
      <c r="F3" s="602"/>
      <c r="G3" s="602"/>
      <c r="H3" s="602"/>
      <c r="I3" s="602"/>
      <c r="J3" s="602"/>
      <c r="K3" s="602"/>
      <c r="L3" s="602"/>
      <c r="M3" s="602"/>
      <c r="N3" s="602"/>
      <c r="O3" s="602"/>
      <c r="P3" s="602"/>
      <c r="Q3" s="602"/>
      <c r="R3" s="602"/>
      <c r="S3" s="602"/>
      <c r="T3" s="602"/>
      <c r="U3" s="602"/>
      <c r="V3" s="602"/>
      <c r="W3" s="602"/>
      <c r="X3" s="602"/>
      <c r="Y3" s="602"/>
      <c r="Z3" s="602"/>
      <c r="AA3" s="602"/>
      <c r="AB3" s="602"/>
      <c r="AC3" s="602"/>
      <c r="AD3" s="602"/>
      <c r="AE3" s="602"/>
    </row>
    <row r="4" spans="1:34" s="303" customFormat="1" ht="15.75" x14ac:dyDescent="0.25">
      <c r="A4" s="603" t="s">
        <v>227</v>
      </c>
      <c r="B4" s="603"/>
      <c r="C4" s="603"/>
      <c r="D4" s="603"/>
      <c r="E4" s="603"/>
      <c r="F4" s="603"/>
      <c r="G4" s="603"/>
      <c r="H4" s="603"/>
      <c r="I4" s="603"/>
      <c r="J4" s="603"/>
      <c r="K4" s="603"/>
      <c r="L4" s="603"/>
      <c r="M4" s="603"/>
      <c r="N4" s="603"/>
      <c r="O4" s="603"/>
      <c r="P4" s="603"/>
      <c r="Q4" s="603"/>
      <c r="R4" s="603"/>
      <c r="S4" s="603"/>
      <c r="T4" s="603"/>
      <c r="U4" s="603"/>
      <c r="V4" s="603"/>
      <c r="W4" s="603"/>
      <c r="X4" s="603"/>
      <c r="Y4" s="603"/>
      <c r="Z4" s="603"/>
      <c r="AA4" s="603"/>
      <c r="AB4" s="603"/>
      <c r="AC4" s="603"/>
      <c r="AD4" s="603"/>
      <c r="AE4" s="603"/>
    </row>
    <row r="5" spans="1:34" s="519" customFormat="1" ht="15.75" x14ac:dyDescent="0.25">
      <c r="A5" s="604" t="s">
        <v>525</v>
      </c>
      <c r="B5" s="604" t="s">
        <v>526</v>
      </c>
      <c r="C5" s="605" t="s">
        <v>445</v>
      </c>
      <c r="D5" s="606"/>
      <c r="E5" s="606"/>
      <c r="F5" s="607" t="s">
        <v>446</v>
      </c>
      <c r="G5" s="607"/>
      <c r="H5" s="607"/>
      <c r="I5" s="607"/>
      <c r="J5" s="607"/>
      <c r="K5" s="607"/>
      <c r="L5" s="607"/>
      <c r="M5" s="607"/>
      <c r="N5" s="607"/>
      <c r="O5" s="607"/>
      <c r="P5" s="607"/>
      <c r="Q5" s="607"/>
      <c r="R5" s="607"/>
      <c r="S5" s="607"/>
      <c r="T5" s="607"/>
      <c r="U5" s="607"/>
      <c r="V5" s="607"/>
      <c r="W5" s="607"/>
      <c r="X5" s="607"/>
      <c r="Y5" s="607"/>
      <c r="Z5" s="607"/>
      <c r="AA5" s="607"/>
      <c r="AB5" s="607"/>
      <c r="AC5" s="607" t="s">
        <v>481</v>
      </c>
      <c r="AD5" s="607"/>
      <c r="AE5" s="607"/>
    </row>
    <row r="6" spans="1:34" s="519" customFormat="1" ht="43.35" customHeight="1" x14ac:dyDescent="0.25">
      <c r="A6" s="604"/>
      <c r="B6" s="604"/>
      <c r="C6" s="607" t="s">
        <v>1</v>
      </c>
      <c r="D6" s="607" t="s">
        <v>177</v>
      </c>
      <c r="E6" s="607"/>
      <c r="F6" s="607" t="s">
        <v>1</v>
      </c>
      <c r="G6" s="607" t="s">
        <v>177</v>
      </c>
      <c r="H6" s="607"/>
      <c r="I6" s="607" t="s">
        <v>527</v>
      </c>
      <c r="J6" s="607"/>
      <c r="K6" s="607"/>
      <c r="L6" s="607"/>
      <c r="M6" s="607"/>
      <c r="N6" s="607"/>
      <c r="O6" s="607" t="s">
        <v>528</v>
      </c>
      <c r="P6" s="607"/>
      <c r="Q6" s="607"/>
      <c r="R6" s="607"/>
      <c r="S6" s="607"/>
      <c r="T6" s="607"/>
      <c r="U6" s="607"/>
      <c r="V6" s="607" t="s">
        <v>529</v>
      </c>
      <c r="W6" s="607"/>
      <c r="X6" s="607"/>
      <c r="Y6" s="607"/>
      <c r="Z6" s="607"/>
      <c r="AA6" s="607"/>
      <c r="AB6" s="607"/>
      <c r="AC6" s="604" t="s">
        <v>1</v>
      </c>
      <c r="AD6" s="607" t="s">
        <v>177</v>
      </c>
      <c r="AE6" s="607"/>
    </row>
    <row r="7" spans="1:34" s="520" customFormat="1" ht="20.45" customHeight="1" x14ac:dyDescent="0.25">
      <c r="A7" s="604"/>
      <c r="B7" s="604"/>
      <c r="C7" s="607"/>
      <c r="D7" s="608" t="s">
        <v>277</v>
      </c>
      <c r="E7" s="608" t="s">
        <v>278</v>
      </c>
      <c r="F7" s="607"/>
      <c r="G7" s="608" t="s">
        <v>277</v>
      </c>
      <c r="H7" s="608" t="s">
        <v>278</v>
      </c>
      <c r="I7" s="608" t="s">
        <v>1</v>
      </c>
      <c r="J7" s="608" t="s">
        <v>277</v>
      </c>
      <c r="K7" s="608"/>
      <c r="L7" s="608"/>
      <c r="M7" s="608" t="s">
        <v>278</v>
      </c>
      <c r="N7" s="608"/>
      <c r="O7" s="608" t="s">
        <v>1</v>
      </c>
      <c r="P7" s="608" t="s">
        <v>277</v>
      </c>
      <c r="Q7" s="608"/>
      <c r="R7" s="608"/>
      <c r="S7" s="608" t="s">
        <v>278</v>
      </c>
      <c r="T7" s="608"/>
      <c r="U7" s="608"/>
      <c r="V7" s="608" t="s">
        <v>1</v>
      </c>
      <c r="W7" s="608" t="s">
        <v>277</v>
      </c>
      <c r="X7" s="608"/>
      <c r="Y7" s="608"/>
      <c r="Z7" s="608" t="s">
        <v>278</v>
      </c>
      <c r="AA7" s="608"/>
      <c r="AB7" s="608"/>
      <c r="AC7" s="604"/>
      <c r="AD7" s="610" t="s">
        <v>137</v>
      </c>
      <c r="AE7" s="610" t="s">
        <v>530</v>
      </c>
    </row>
    <row r="8" spans="1:34" s="520" customFormat="1" ht="18.600000000000001" customHeight="1" x14ac:dyDescent="0.25">
      <c r="A8" s="604"/>
      <c r="B8" s="604"/>
      <c r="C8" s="607"/>
      <c r="D8" s="608"/>
      <c r="E8" s="608"/>
      <c r="F8" s="607"/>
      <c r="G8" s="608"/>
      <c r="H8" s="608"/>
      <c r="I8" s="608"/>
      <c r="J8" s="609" t="s">
        <v>1</v>
      </c>
      <c r="K8" s="609" t="s">
        <v>531</v>
      </c>
      <c r="L8" s="609"/>
      <c r="M8" s="609" t="s">
        <v>1</v>
      </c>
      <c r="N8" s="521" t="s">
        <v>531</v>
      </c>
      <c r="O8" s="608"/>
      <c r="P8" s="609" t="s">
        <v>1</v>
      </c>
      <c r="Q8" s="609" t="s">
        <v>531</v>
      </c>
      <c r="R8" s="609"/>
      <c r="S8" s="609" t="s">
        <v>1</v>
      </c>
      <c r="T8" s="609" t="s">
        <v>531</v>
      </c>
      <c r="U8" s="609"/>
      <c r="V8" s="608"/>
      <c r="W8" s="609" t="s">
        <v>1</v>
      </c>
      <c r="X8" s="609" t="s">
        <v>531</v>
      </c>
      <c r="Y8" s="609"/>
      <c r="Z8" s="609" t="s">
        <v>1</v>
      </c>
      <c r="AA8" s="609" t="s">
        <v>531</v>
      </c>
      <c r="AB8" s="609"/>
      <c r="AC8" s="604"/>
      <c r="AD8" s="610"/>
      <c r="AE8" s="610"/>
    </row>
    <row r="9" spans="1:34" s="520" customFormat="1" ht="52.5" x14ac:dyDescent="0.25">
      <c r="A9" s="604"/>
      <c r="B9" s="604"/>
      <c r="C9" s="607"/>
      <c r="D9" s="608"/>
      <c r="E9" s="608"/>
      <c r="F9" s="607"/>
      <c r="G9" s="608"/>
      <c r="H9" s="608"/>
      <c r="I9" s="608"/>
      <c r="J9" s="609"/>
      <c r="K9" s="521" t="s">
        <v>532</v>
      </c>
      <c r="L9" s="521" t="s">
        <v>533</v>
      </c>
      <c r="M9" s="609"/>
      <c r="N9" s="521" t="s">
        <v>532</v>
      </c>
      <c r="O9" s="608"/>
      <c r="P9" s="609"/>
      <c r="Q9" s="521" t="s">
        <v>532</v>
      </c>
      <c r="R9" s="521" t="s">
        <v>533</v>
      </c>
      <c r="S9" s="609"/>
      <c r="T9" s="521" t="s">
        <v>532</v>
      </c>
      <c r="U9" s="521" t="s">
        <v>533</v>
      </c>
      <c r="V9" s="608"/>
      <c r="W9" s="609"/>
      <c r="X9" s="521" t="s">
        <v>532</v>
      </c>
      <c r="Y9" s="521" t="s">
        <v>533</v>
      </c>
      <c r="Z9" s="609"/>
      <c r="AA9" s="521" t="s">
        <v>532</v>
      </c>
      <c r="AB9" s="521" t="s">
        <v>533</v>
      </c>
      <c r="AC9" s="604"/>
      <c r="AD9" s="610"/>
      <c r="AE9" s="610"/>
      <c r="AF9" s="522"/>
    </row>
    <row r="10" spans="1:34" s="525" customFormat="1" ht="17.25" x14ac:dyDescent="0.2">
      <c r="A10" s="523" t="s">
        <v>21</v>
      </c>
      <c r="B10" s="523" t="s">
        <v>22</v>
      </c>
      <c r="C10" s="524">
        <v>1</v>
      </c>
      <c r="D10" s="523">
        <v>2</v>
      </c>
      <c r="E10" s="523">
        <v>3</v>
      </c>
      <c r="F10" s="524">
        <v>5</v>
      </c>
      <c r="G10" s="523">
        <v>6</v>
      </c>
      <c r="H10" s="523">
        <v>7</v>
      </c>
      <c r="I10" s="523">
        <v>8</v>
      </c>
      <c r="J10" s="523">
        <v>9</v>
      </c>
      <c r="K10" s="523">
        <v>10</v>
      </c>
      <c r="L10" s="523">
        <v>11</v>
      </c>
      <c r="M10" s="523">
        <v>12</v>
      </c>
      <c r="N10" s="523">
        <v>13</v>
      </c>
      <c r="O10" s="523">
        <v>15</v>
      </c>
      <c r="P10" s="523">
        <v>16</v>
      </c>
      <c r="Q10" s="523">
        <v>17</v>
      </c>
      <c r="R10" s="523">
        <v>18</v>
      </c>
      <c r="S10" s="523">
        <v>19</v>
      </c>
      <c r="T10" s="523">
        <v>20</v>
      </c>
      <c r="U10" s="523">
        <v>21</v>
      </c>
      <c r="V10" s="523">
        <v>22</v>
      </c>
      <c r="W10" s="523">
        <v>23</v>
      </c>
      <c r="X10" s="523">
        <v>24</v>
      </c>
      <c r="Y10" s="523">
        <v>25</v>
      </c>
      <c r="Z10" s="523">
        <v>26</v>
      </c>
      <c r="AA10" s="523">
        <v>27</v>
      </c>
      <c r="AB10" s="523">
        <v>28</v>
      </c>
      <c r="AC10" s="523" t="s">
        <v>534</v>
      </c>
      <c r="AD10" s="523" t="s">
        <v>535</v>
      </c>
      <c r="AE10" s="523" t="s">
        <v>536</v>
      </c>
    </row>
    <row r="11" spans="1:34" s="532" customFormat="1" ht="40.35" customHeight="1" x14ac:dyDescent="0.25">
      <c r="A11" s="526"/>
      <c r="B11" s="9" t="s">
        <v>216</v>
      </c>
      <c r="C11" s="527">
        <f t="shared" ref="C11:AB11" si="0">SUM(C12:C14)</f>
        <v>9992829400</v>
      </c>
      <c r="D11" s="527">
        <f t="shared" si="0"/>
        <v>0</v>
      </c>
      <c r="E11" s="527">
        <f t="shared" si="0"/>
        <v>9992829400</v>
      </c>
      <c r="F11" s="527">
        <f t="shared" si="0"/>
        <v>16215443586</v>
      </c>
      <c r="G11" s="527">
        <f t="shared" si="0"/>
        <v>0</v>
      </c>
      <c r="H11" s="527">
        <f t="shared" si="0"/>
        <v>16215443586</v>
      </c>
      <c r="I11" s="527">
        <f t="shared" si="0"/>
        <v>334450000</v>
      </c>
      <c r="J11" s="527">
        <f t="shared" si="0"/>
        <v>0</v>
      </c>
      <c r="K11" s="527">
        <f t="shared" si="0"/>
        <v>0</v>
      </c>
      <c r="L11" s="527">
        <f t="shared" si="0"/>
        <v>0</v>
      </c>
      <c r="M11" s="527">
        <f t="shared" si="0"/>
        <v>334450000</v>
      </c>
      <c r="N11" s="527">
        <f t="shared" si="0"/>
        <v>334450000</v>
      </c>
      <c r="O11" s="527">
        <f t="shared" si="0"/>
        <v>1736398000</v>
      </c>
      <c r="P11" s="527">
        <f t="shared" si="0"/>
        <v>0</v>
      </c>
      <c r="Q11" s="527">
        <f t="shared" si="0"/>
        <v>0</v>
      </c>
      <c r="R11" s="527">
        <f t="shared" si="0"/>
        <v>5944031400</v>
      </c>
      <c r="S11" s="527">
        <f t="shared" si="0"/>
        <v>1736398000</v>
      </c>
      <c r="T11" s="527">
        <f t="shared" si="0"/>
        <v>1736398000</v>
      </c>
      <c r="U11" s="527">
        <f t="shared" si="0"/>
        <v>0</v>
      </c>
      <c r="V11" s="527">
        <f t="shared" si="0"/>
        <v>14144595586</v>
      </c>
      <c r="W11" s="527">
        <f t="shared" si="0"/>
        <v>0</v>
      </c>
      <c r="X11" s="527">
        <f t="shared" si="0"/>
        <v>0</v>
      </c>
      <c r="Y11" s="527">
        <f t="shared" si="0"/>
        <v>0</v>
      </c>
      <c r="Z11" s="527">
        <f t="shared" si="0"/>
        <v>14144595586</v>
      </c>
      <c r="AA11" s="527">
        <f t="shared" si="0"/>
        <v>14144595586</v>
      </c>
      <c r="AB11" s="527">
        <f t="shared" si="0"/>
        <v>0</v>
      </c>
      <c r="AC11" s="528">
        <f>F11/C11*100</f>
        <v>162.27079375537022</v>
      </c>
      <c r="AD11" s="528" t="e">
        <f>G11/D11*100</f>
        <v>#DIV/0!</v>
      </c>
      <c r="AE11" s="528">
        <f>H11/E11*100</f>
        <v>162.27079375537022</v>
      </c>
      <c r="AF11" s="529">
        <f>14144595586-Z11</f>
        <v>0</v>
      </c>
      <c r="AG11" s="530"/>
      <c r="AH11" s="531"/>
    </row>
    <row r="12" spans="1:34" s="542" customFormat="1" ht="40.35" customHeight="1" x14ac:dyDescent="0.25">
      <c r="A12" s="503">
        <v>1</v>
      </c>
      <c r="B12" s="517" t="s">
        <v>496</v>
      </c>
      <c r="C12" s="533">
        <f>D12+E12</f>
        <v>8256431400</v>
      </c>
      <c r="D12" s="534"/>
      <c r="E12" s="535">
        <v>8256431400</v>
      </c>
      <c r="F12" s="535">
        <f>G12+H12</f>
        <v>8807614186</v>
      </c>
      <c r="G12" s="535">
        <f>J12+P12+W12</f>
        <v>0</v>
      </c>
      <c r="H12" s="535">
        <f>M12+S12+Z12</f>
        <v>8807614186</v>
      </c>
      <c r="I12" s="535">
        <f>J12+M12</f>
        <v>334450000</v>
      </c>
      <c r="J12" s="535">
        <f>K12</f>
        <v>0</v>
      </c>
      <c r="K12" s="534"/>
      <c r="L12" s="534"/>
      <c r="M12" s="536">
        <f>N12</f>
        <v>334450000</v>
      </c>
      <c r="N12" s="537">
        <v>334450000</v>
      </c>
      <c r="O12" s="536">
        <f>P12+S12</f>
        <v>0</v>
      </c>
      <c r="P12" s="536">
        <f>Q12</f>
        <v>0</v>
      </c>
      <c r="Q12" s="534"/>
      <c r="R12" s="534"/>
      <c r="S12" s="536">
        <f>T12+U12</f>
        <v>0</v>
      </c>
      <c r="T12" s="535"/>
      <c r="U12" s="534"/>
      <c r="V12" s="535">
        <f>W12+Z12</f>
        <v>8473164186</v>
      </c>
      <c r="W12" s="535">
        <f>X12</f>
        <v>0</v>
      </c>
      <c r="X12" s="534"/>
      <c r="Y12" s="534"/>
      <c r="Z12" s="536">
        <f>AA12</f>
        <v>8473164186</v>
      </c>
      <c r="AA12" s="538">
        <f>8807614186-334450000</f>
        <v>8473164186</v>
      </c>
      <c r="AB12" s="534"/>
      <c r="AC12" s="539">
        <f>F12/C12*100</f>
        <v>106.67579925632278</v>
      </c>
      <c r="AD12" s="539"/>
      <c r="AE12" s="539">
        <f>H12/E12*100</f>
        <v>106.67579925632278</v>
      </c>
      <c r="AF12" s="540"/>
      <c r="AG12" s="541"/>
    </row>
    <row r="13" spans="1:34" s="542" customFormat="1" ht="40.35" customHeight="1" x14ac:dyDescent="0.25">
      <c r="A13" s="503">
        <v>2</v>
      </c>
      <c r="B13" s="517" t="s">
        <v>497</v>
      </c>
      <c r="C13" s="533">
        <f>D13+E13</f>
        <v>1736398000</v>
      </c>
      <c r="D13" s="534"/>
      <c r="E13" s="535">
        <v>1736398000</v>
      </c>
      <c r="F13" s="535">
        <f>G13+H13</f>
        <v>1463798000</v>
      </c>
      <c r="G13" s="535">
        <f>J13+P13+W13</f>
        <v>0</v>
      </c>
      <c r="H13" s="535">
        <f>M13+S13+Z13</f>
        <v>1463798000</v>
      </c>
      <c r="I13" s="535">
        <f>J13+M13</f>
        <v>0</v>
      </c>
      <c r="J13" s="535">
        <f>K13</f>
        <v>0</v>
      </c>
      <c r="K13" s="534"/>
      <c r="L13" s="534"/>
      <c r="M13" s="536">
        <f>N13</f>
        <v>0</v>
      </c>
      <c r="N13" s="535"/>
      <c r="O13" s="536">
        <f>P13+S13</f>
        <v>1463798000</v>
      </c>
      <c r="P13" s="536">
        <f>Q13</f>
        <v>0</v>
      </c>
      <c r="Q13" s="534"/>
      <c r="R13" s="534"/>
      <c r="S13" s="536">
        <f>T13+U13</f>
        <v>1463798000</v>
      </c>
      <c r="T13" s="543">
        <v>1463798000</v>
      </c>
      <c r="U13" s="534"/>
      <c r="V13" s="535">
        <f>W13+Z13</f>
        <v>0</v>
      </c>
      <c r="W13" s="535">
        <f>X13</f>
        <v>0</v>
      </c>
      <c r="X13" s="534"/>
      <c r="Y13" s="534"/>
      <c r="Z13" s="536">
        <f>AA13</f>
        <v>0</v>
      </c>
      <c r="AA13" s="538"/>
      <c r="AB13" s="534"/>
      <c r="AC13" s="539">
        <f>F13/C13*100</f>
        <v>84.300834255740909</v>
      </c>
      <c r="AD13" s="539"/>
      <c r="AE13" s="539">
        <f>H13/E13*100</f>
        <v>84.300834255740909</v>
      </c>
      <c r="AF13" s="540"/>
      <c r="AG13" s="544"/>
    </row>
    <row r="14" spans="1:34" s="542" customFormat="1" ht="98.45" customHeight="1" x14ac:dyDescent="0.25">
      <c r="A14" s="503">
        <v>3</v>
      </c>
      <c r="B14" s="517" t="s">
        <v>502</v>
      </c>
      <c r="C14" s="533">
        <f>D14+E14</f>
        <v>0</v>
      </c>
      <c r="D14" s="535"/>
      <c r="E14" s="535"/>
      <c r="F14" s="533">
        <f>G14+H14</f>
        <v>5944031400</v>
      </c>
      <c r="G14" s="535">
        <f>J14+P14+W14</f>
        <v>0</v>
      </c>
      <c r="H14" s="535">
        <f>M14+S14+Z14</f>
        <v>5944031400</v>
      </c>
      <c r="I14" s="535">
        <f>J14+M14</f>
        <v>0</v>
      </c>
      <c r="J14" s="535">
        <f>K14</f>
        <v>0</v>
      </c>
      <c r="K14" s="535"/>
      <c r="L14" s="535"/>
      <c r="M14" s="536">
        <f>N14</f>
        <v>0</v>
      </c>
      <c r="N14" s="543"/>
      <c r="O14" s="536">
        <f>P14+S14</f>
        <v>272600000</v>
      </c>
      <c r="P14" s="536">
        <f>Q14</f>
        <v>0</v>
      </c>
      <c r="Q14" s="545"/>
      <c r="R14" s="536">
        <f>S14+V14</f>
        <v>5944031400</v>
      </c>
      <c r="S14" s="536">
        <f>T14+U14</f>
        <v>272600000</v>
      </c>
      <c r="T14" s="543">
        <v>272600000</v>
      </c>
      <c r="U14" s="543"/>
      <c r="V14" s="535">
        <f>W14+Z14</f>
        <v>5671431400</v>
      </c>
      <c r="W14" s="535">
        <f>X14</f>
        <v>0</v>
      </c>
      <c r="X14" s="543"/>
      <c r="Y14" s="535"/>
      <c r="Z14" s="536">
        <f>AA14</f>
        <v>5671431400</v>
      </c>
      <c r="AA14" s="546">
        <v>5671431400</v>
      </c>
      <c r="AB14" s="546"/>
      <c r="AC14" s="539"/>
      <c r="AD14" s="539"/>
      <c r="AE14" s="539"/>
      <c r="AF14" s="540"/>
      <c r="AG14" s="547"/>
      <c r="AH14" s="547"/>
    </row>
    <row r="15" spans="1:34" x14ac:dyDescent="0.25">
      <c r="B15" s="549"/>
    </row>
    <row r="16" spans="1:34" x14ac:dyDescent="0.25">
      <c r="B16" s="549"/>
      <c r="K16" s="611"/>
      <c r="L16" s="611"/>
      <c r="M16" s="611"/>
      <c r="N16" s="611"/>
    </row>
    <row r="17" spans="11:14" x14ac:dyDescent="0.25">
      <c r="K17" s="611"/>
      <c r="L17" s="611"/>
      <c r="M17" s="611"/>
      <c r="N17" s="611"/>
    </row>
    <row r="18" spans="11:14" x14ac:dyDescent="0.25">
      <c r="K18" s="611"/>
      <c r="L18" s="611"/>
      <c r="M18" s="611"/>
      <c r="N18" s="611"/>
    </row>
    <row r="19" spans="11:14" x14ac:dyDescent="0.25">
      <c r="K19" s="611"/>
      <c r="L19" s="611"/>
      <c r="M19" s="611"/>
      <c r="N19" s="611"/>
    </row>
    <row r="20" spans="11:14" x14ac:dyDescent="0.25">
      <c r="K20" s="611"/>
      <c r="L20" s="611"/>
      <c r="M20" s="611"/>
      <c r="N20" s="611"/>
    </row>
    <row r="21" spans="11:14" x14ac:dyDescent="0.25">
      <c r="K21" s="611"/>
      <c r="L21" s="611"/>
      <c r="M21" s="611"/>
      <c r="N21" s="611"/>
    </row>
    <row r="22" spans="11:14" x14ac:dyDescent="0.25">
      <c r="K22" s="611"/>
      <c r="L22" s="611"/>
      <c r="M22" s="611"/>
      <c r="N22" s="611"/>
    </row>
    <row r="23" spans="11:14" x14ac:dyDescent="0.25">
      <c r="K23" s="611"/>
      <c r="L23" s="611"/>
      <c r="M23" s="611"/>
      <c r="N23" s="611"/>
    </row>
  </sheetData>
  <mergeCells count="52">
    <mergeCell ref="Z8:Z9"/>
    <mergeCell ref="AA8:AB8"/>
    <mergeCell ref="K23:N23"/>
    <mergeCell ref="K17:N17"/>
    <mergeCell ref="K18:N18"/>
    <mergeCell ref="K19:N19"/>
    <mergeCell ref="K20:N20"/>
    <mergeCell ref="K21:N21"/>
    <mergeCell ref="K22:N22"/>
    <mergeCell ref="K16:N16"/>
    <mergeCell ref="V7:V9"/>
    <mergeCell ref="W7:Y7"/>
    <mergeCell ref="T8:U8"/>
    <mergeCell ref="W8:W9"/>
    <mergeCell ref="X8:Y8"/>
    <mergeCell ref="J8:J9"/>
    <mergeCell ref="K8:L8"/>
    <mergeCell ref="M8:M9"/>
    <mergeCell ref="P8:P9"/>
    <mergeCell ref="Q8:R8"/>
    <mergeCell ref="AD6:AE6"/>
    <mergeCell ref="D7:D9"/>
    <mergeCell ref="E7:E9"/>
    <mergeCell ref="G7:G9"/>
    <mergeCell ref="H7:H9"/>
    <mergeCell ref="I7:I9"/>
    <mergeCell ref="J7:L7"/>
    <mergeCell ref="M7:N7"/>
    <mergeCell ref="O6:U6"/>
    <mergeCell ref="O7:O9"/>
    <mergeCell ref="P7:R7"/>
    <mergeCell ref="S7:U7"/>
    <mergeCell ref="S8:S9"/>
    <mergeCell ref="Z7:AB7"/>
    <mergeCell ref="AD7:AD9"/>
    <mergeCell ref="AE7:AE9"/>
    <mergeCell ref="A1:AE1"/>
    <mergeCell ref="A2:AE2"/>
    <mergeCell ref="A3:AE3"/>
    <mergeCell ref="A4:AE4"/>
    <mergeCell ref="A5:A9"/>
    <mergeCell ref="B5:B9"/>
    <mergeCell ref="C5:E5"/>
    <mergeCell ref="F5:AB5"/>
    <mergeCell ref="AC5:AE5"/>
    <mergeCell ref="C6:C9"/>
    <mergeCell ref="D6:E6"/>
    <mergeCell ref="F6:F9"/>
    <mergeCell ref="G6:H6"/>
    <mergeCell ref="I6:N6"/>
    <mergeCell ref="V6:AB6"/>
    <mergeCell ref="AC6:AC9"/>
  </mergeCells>
  <printOptions horizontalCentered="1"/>
  <pageMargins left="0.11811023622047245" right="0.11811023622047245" top="0.35433070866141736" bottom="0.35433070866141736" header="0.31496062992125984" footer="0.31496062992125984"/>
  <pageSetup paperSize="9" scale="70"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0"/>
  <sheetViews>
    <sheetView workbookViewId="0">
      <selection activeCell="E13" sqref="E13"/>
    </sheetView>
  </sheetViews>
  <sheetFormatPr defaultRowHeight="15.75" x14ac:dyDescent="0.25"/>
  <cols>
    <col min="1" max="1" width="6.140625" style="563" customWidth="1"/>
    <col min="2" max="2" width="10.5703125" style="563" customWidth="1"/>
    <col min="3" max="3" width="11.85546875" style="563" customWidth="1"/>
    <col min="4" max="4" width="14.5703125" style="563" hidden="1" customWidth="1"/>
    <col min="5" max="5" width="55.5703125" style="458" customWidth="1"/>
    <col min="6" max="8" width="14.42578125" style="458" customWidth="1"/>
    <col min="9" max="10" width="14.42578125" style="508" customWidth="1"/>
    <col min="11" max="11" width="17.140625" style="458" customWidth="1"/>
    <col min="12" max="257" width="8.85546875" style="458"/>
    <col min="258" max="258" width="6.140625" style="458" customWidth="1"/>
    <col min="259" max="259" width="10.5703125" style="458" customWidth="1"/>
    <col min="260" max="260" width="11.85546875" style="458" customWidth="1"/>
    <col min="261" max="261" width="0" style="458" hidden="1" customWidth="1"/>
    <col min="262" max="262" width="55.5703125" style="458" customWidth="1"/>
    <col min="263" max="266" width="14.42578125" style="458" customWidth="1"/>
    <col min="267" max="267" width="17.140625" style="458" customWidth="1"/>
    <col min="268" max="513" width="8.85546875" style="458"/>
    <col min="514" max="514" width="6.140625" style="458" customWidth="1"/>
    <col min="515" max="515" width="10.5703125" style="458" customWidth="1"/>
    <col min="516" max="516" width="11.85546875" style="458" customWidth="1"/>
    <col min="517" max="517" width="0" style="458" hidden="1" customWidth="1"/>
    <col min="518" max="518" width="55.5703125" style="458" customWidth="1"/>
    <col min="519" max="522" width="14.42578125" style="458" customWidth="1"/>
    <col min="523" max="523" width="17.140625" style="458" customWidth="1"/>
    <col min="524" max="769" width="8.85546875" style="458"/>
    <col min="770" max="770" width="6.140625" style="458" customWidth="1"/>
    <col min="771" max="771" width="10.5703125" style="458" customWidth="1"/>
    <col min="772" max="772" width="11.85546875" style="458" customWidth="1"/>
    <col min="773" max="773" width="0" style="458" hidden="1" customWidth="1"/>
    <col min="774" max="774" width="55.5703125" style="458" customWidth="1"/>
    <col min="775" max="778" width="14.42578125" style="458" customWidth="1"/>
    <col min="779" max="779" width="17.140625" style="458" customWidth="1"/>
    <col min="780" max="1025" width="8.85546875" style="458"/>
    <col min="1026" max="1026" width="6.140625" style="458" customWidth="1"/>
    <col min="1027" max="1027" width="10.5703125" style="458" customWidth="1"/>
    <col min="1028" max="1028" width="11.85546875" style="458" customWidth="1"/>
    <col min="1029" max="1029" width="0" style="458" hidden="1" customWidth="1"/>
    <col min="1030" max="1030" width="55.5703125" style="458" customWidth="1"/>
    <col min="1031" max="1034" width="14.42578125" style="458" customWidth="1"/>
    <col min="1035" max="1035" width="17.140625" style="458" customWidth="1"/>
    <col min="1036" max="1281" width="8.85546875" style="458"/>
    <col min="1282" max="1282" width="6.140625" style="458" customWidth="1"/>
    <col min="1283" max="1283" width="10.5703125" style="458" customWidth="1"/>
    <col min="1284" max="1284" width="11.85546875" style="458" customWidth="1"/>
    <col min="1285" max="1285" width="0" style="458" hidden="1" customWidth="1"/>
    <col min="1286" max="1286" width="55.5703125" style="458" customWidth="1"/>
    <col min="1287" max="1290" width="14.42578125" style="458" customWidth="1"/>
    <col min="1291" max="1291" width="17.140625" style="458" customWidth="1"/>
    <col min="1292" max="1537" width="8.85546875" style="458"/>
    <col min="1538" max="1538" width="6.140625" style="458" customWidth="1"/>
    <col min="1539" max="1539" width="10.5703125" style="458" customWidth="1"/>
    <col min="1540" max="1540" width="11.85546875" style="458" customWidth="1"/>
    <col min="1541" max="1541" width="0" style="458" hidden="1" customWidth="1"/>
    <col min="1542" max="1542" width="55.5703125" style="458" customWidth="1"/>
    <col min="1543" max="1546" width="14.42578125" style="458" customWidth="1"/>
    <col min="1547" max="1547" width="17.140625" style="458" customWidth="1"/>
    <col min="1548" max="1793" width="8.85546875" style="458"/>
    <col min="1794" max="1794" width="6.140625" style="458" customWidth="1"/>
    <col min="1795" max="1795" width="10.5703125" style="458" customWidth="1"/>
    <col min="1796" max="1796" width="11.85546875" style="458" customWidth="1"/>
    <col min="1797" max="1797" width="0" style="458" hidden="1" customWidth="1"/>
    <col min="1798" max="1798" width="55.5703125" style="458" customWidth="1"/>
    <col min="1799" max="1802" width="14.42578125" style="458" customWidth="1"/>
    <col min="1803" max="1803" width="17.140625" style="458" customWidth="1"/>
    <col min="1804" max="2049" width="8.85546875" style="458"/>
    <col min="2050" max="2050" width="6.140625" style="458" customWidth="1"/>
    <col min="2051" max="2051" width="10.5703125" style="458" customWidth="1"/>
    <col min="2052" max="2052" width="11.85546875" style="458" customWidth="1"/>
    <col min="2053" max="2053" width="0" style="458" hidden="1" customWidth="1"/>
    <col min="2054" max="2054" width="55.5703125" style="458" customWidth="1"/>
    <col min="2055" max="2058" width="14.42578125" style="458" customWidth="1"/>
    <col min="2059" max="2059" width="17.140625" style="458" customWidth="1"/>
    <col min="2060" max="2305" width="8.85546875" style="458"/>
    <col min="2306" max="2306" width="6.140625" style="458" customWidth="1"/>
    <col min="2307" max="2307" width="10.5703125" style="458" customWidth="1"/>
    <col min="2308" max="2308" width="11.85546875" style="458" customWidth="1"/>
    <col min="2309" max="2309" width="0" style="458" hidden="1" customWidth="1"/>
    <col min="2310" max="2310" width="55.5703125" style="458" customWidth="1"/>
    <col min="2311" max="2314" width="14.42578125" style="458" customWidth="1"/>
    <col min="2315" max="2315" width="17.140625" style="458" customWidth="1"/>
    <col min="2316" max="2561" width="8.85546875" style="458"/>
    <col min="2562" max="2562" width="6.140625" style="458" customWidth="1"/>
    <col min="2563" max="2563" width="10.5703125" style="458" customWidth="1"/>
    <col min="2564" max="2564" width="11.85546875" style="458" customWidth="1"/>
    <col min="2565" max="2565" width="0" style="458" hidden="1" customWidth="1"/>
    <col min="2566" max="2566" width="55.5703125" style="458" customWidth="1"/>
    <col min="2567" max="2570" width="14.42578125" style="458" customWidth="1"/>
    <col min="2571" max="2571" width="17.140625" style="458" customWidth="1"/>
    <col min="2572" max="2817" width="8.85546875" style="458"/>
    <col min="2818" max="2818" width="6.140625" style="458" customWidth="1"/>
    <col min="2819" max="2819" width="10.5703125" style="458" customWidth="1"/>
    <col min="2820" max="2820" width="11.85546875" style="458" customWidth="1"/>
    <col min="2821" max="2821" width="0" style="458" hidden="1" customWidth="1"/>
    <col min="2822" max="2822" width="55.5703125" style="458" customWidth="1"/>
    <col min="2823" max="2826" width="14.42578125" style="458" customWidth="1"/>
    <col min="2827" max="2827" width="17.140625" style="458" customWidth="1"/>
    <col min="2828" max="3073" width="8.85546875" style="458"/>
    <col min="3074" max="3074" width="6.140625" style="458" customWidth="1"/>
    <col min="3075" max="3075" width="10.5703125" style="458" customWidth="1"/>
    <col min="3076" max="3076" width="11.85546875" style="458" customWidth="1"/>
    <col min="3077" max="3077" width="0" style="458" hidden="1" customWidth="1"/>
    <col min="3078" max="3078" width="55.5703125" style="458" customWidth="1"/>
    <col min="3079" max="3082" width="14.42578125" style="458" customWidth="1"/>
    <col min="3083" max="3083" width="17.140625" style="458" customWidth="1"/>
    <col min="3084" max="3329" width="8.85546875" style="458"/>
    <col min="3330" max="3330" width="6.140625" style="458" customWidth="1"/>
    <col min="3331" max="3331" width="10.5703125" style="458" customWidth="1"/>
    <col min="3332" max="3332" width="11.85546875" style="458" customWidth="1"/>
    <col min="3333" max="3333" width="0" style="458" hidden="1" customWidth="1"/>
    <col min="3334" max="3334" width="55.5703125" style="458" customWidth="1"/>
    <col min="3335" max="3338" width="14.42578125" style="458" customWidth="1"/>
    <col min="3339" max="3339" width="17.140625" style="458" customWidth="1"/>
    <col min="3340" max="3585" width="8.85546875" style="458"/>
    <col min="3586" max="3586" width="6.140625" style="458" customWidth="1"/>
    <col min="3587" max="3587" width="10.5703125" style="458" customWidth="1"/>
    <col min="3588" max="3588" width="11.85546875" style="458" customWidth="1"/>
    <col min="3589" max="3589" width="0" style="458" hidden="1" customWidth="1"/>
    <col min="3590" max="3590" width="55.5703125" style="458" customWidth="1"/>
    <col min="3591" max="3594" width="14.42578125" style="458" customWidth="1"/>
    <col min="3595" max="3595" width="17.140625" style="458" customWidth="1"/>
    <col min="3596" max="3841" width="8.85546875" style="458"/>
    <col min="3842" max="3842" width="6.140625" style="458" customWidth="1"/>
    <col min="3843" max="3843" width="10.5703125" style="458" customWidth="1"/>
    <col min="3844" max="3844" width="11.85546875" style="458" customWidth="1"/>
    <col min="3845" max="3845" width="0" style="458" hidden="1" customWidth="1"/>
    <col min="3846" max="3846" width="55.5703125" style="458" customWidth="1"/>
    <col min="3847" max="3850" width="14.42578125" style="458" customWidth="1"/>
    <col min="3851" max="3851" width="17.140625" style="458" customWidth="1"/>
    <col min="3852" max="4097" width="8.85546875" style="458"/>
    <col min="4098" max="4098" width="6.140625" style="458" customWidth="1"/>
    <col min="4099" max="4099" width="10.5703125" style="458" customWidth="1"/>
    <col min="4100" max="4100" width="11.85546875" style="458" customWidth="1"/>
    <col min="4101" max="4101" width="0" style="458" hidden="1" customWidth="1"/>
    <col min="4102" max="4102" width="55.5703125" style="458" customWidth="1"/>
    <col min="4103" max="4106" width="14.42578125" style="458" customWidth="1"/>
    <col min="4107" max="4107" width="17.140625" style="458" customWidth="1"/>
    <col min="4108" max="4353" width="8.85546875" style="458"/>
    <col min="4354" max="4354" width="6.140625" style="458" customWidth="1"/>
    <col min="4355" max="4355" width="10.5703125" style="458" customWidth="1"/>
    <col min="4356" max="4356" width="11.85546875" style="458" customWidth="1"/>
    <col min="4357" max="4357" width="0" style="458" hidden="1" customWidth="1"/>
    <col min="4358" max="4358" width="55.5703125" style="458" customWidth="1"/>
    <col min="4359" max="4362" width="14.42578125" style="458" customWidth="1"/>
    <col min="4363" max="4363" width="17.140625" style="458" customWidth="1"/>
    <col min="4364" max="4609" width="8.85546875" style="458"/>
    <col min="4610" max="4610" width="6.140625" style="458" customWidth="1"/>
    <col min="4611" max="4611" width="10.5703125" style="458" customWidth="1"/>
    <col min="4612" max="4612" width="11.85546875" style="458" customWidth="1"/>
    <col min="4613" max="4613" width="0" style="458" hidden="1" customWidth="1"/>
    <col min="4614" max="4614" width="55.5703125" style="458" customWidth="1"/>
    <col min="4615" max="4618" width="14.42578125" style="458" customWidth="1"/>
    <col min="4619" max="4619" width="17.140625" style="458" customWidth="1"/>
    <col min="4620" max="4865" width="8.85546875" style="458"/>
    <col min="4866" max="4866" width="6.140625" style="458" customWidth="1"/>
    <col min="4867" max="4867" width="10.5703125" style="458" customWidth="1"/>
    <col min="4868" max="4868" width="11.85546875" style="458" customWidth="1"/>
    <col min="4869" max="4869" width="0" style="458" hidden="1" customWidth="1"/>
    <col min="4870" max="4870" width="55.5703125" style="458" customWidth="1"/>
    <col min="4871" max="4874" width="14.42578125" style="458" customWidth="1"/>
    <col min="4875" max="4875" width="17.140625" style="458" customWidth="1"/>
    <col min="4876" max="5121" width="8.85546875" style="458"/>
    <col min="5122" max="5122" width="6.140625" style="458" customWidth="1"/>
    <col min="5123" max="5123" width="10.5703125" style="458" customWidth="1"/>
    <col min="5124" max="5124" width="11.85546875" style="458" customWidth="1"/>
    <col min="5125" max="5125" width="0" style="458" hidden="1" customWidth="1"/>
    <col min="5126" max="5126" width="55.5703125" style="458" customWidth="1"/>
    <col min="5127" max="5130" width="14.42578125" style="458" customWidth="1"/>
    <col min="5131" max="5131" width="17.140625" style="458" customWidth="1"/>
    <col min="5132" max="5377" width="8.85546875" style="458"/>
    <col min="5378" max="5378" width="6.140625" style="458" customWidth="1"/>
    <col min="5379" max="5379" width="10.5703125" style="458" customWidth="1"/>
    <col min="5380" max="5380" width="11.85546875" style="458" customWidth="1"/>
    <col min="5381" max="5381" width="0" style="458" hidden="1" customWidth="1"/>
    <col min="5382" max="5382" width="55.5703125" style="458" customWidth="1"/>
    <col min="5383" max="5386" width="14.42578125" style="458" customWidth="1"/>
    <col min="5387" max="5387" width="17.140625" style="458" customWidth="1"/>
    <col min="5388" max="5633" width="8.85546875" style="458"/>
    <col min="5634" max="5634" width="6.140625" style="458" customWidth="1"/>
    <col min="5635" max="5635" width="10.5703125" style="458" customWidth="1"/>
    <col min="5636" max="5636" width="11.85546875" style="458" customWidth="1"/>
    <col min="5637" max="5637" width="0" style="458" hidden="1" customWidth="1"/>
    <col min="5638" max="5638" width="55.5703125" style="458" customWidth="1"/>
    <col min="5639" max="5642" width="14.42578125" style="458" customWidth="1"/>
    <col min="5643" max="5643" width="17.140625" style="458" customWidth="1"/>
    <col min="5644" max="5889" width="8.85546875" style="458"/>
    <col min="5890" max="5890" width="6.140625" style="458" customWidth="1"/>
    <col min="5891" max="5891" width="10.5703125" style="458" customWidth="1"/>
    <col min="5892" max="5892" width="11.85546875" style="458" customWidth="1"/>
    <col min="5893" max="5893" width="0" style="458" hidden="1" customWidth="1"/>
    <col min="5894" max="5894" width="55.5703125" style="458" customWidth="1"/>
    <col min="5895" max="5898" width="14.42578125" style="458" customWidth="1"/>
    <col min="5899" max="5899" width="17.140625" style="458" customWidth="1"/>
    <col min="5900" max="6145" width="8.85546875" style="458"/>
    <col min="6146" max="6146" width="6.140625" style="458" customWidth="1"/>
    <col min="6147" max="6147" width="10.5703125" style="458" customWidth="1"/>
    <col min="6148" max="6148" width="11.85546875" style="458" customWidth="1"/>
    <col min="6149" max="6149" width="0" style="458" hidden="1" customWidth="1"/>
    <col min="6150" max="6150" width="55.5703125" style="458" customWidth="1"/>
    <col min="6151" max="6154" width="14.42578125" style="458" customWidth="1"/>
    <col min="6155" max="6155" width="17.140625" style="458" customWidth="1"/>
    <col min="6156" max="6401" width="8.85546875" style="458"/>
    <col min="6402" max="6402" width="6.140625" style="458" customWidth="1"/>
    <col min="6403" max="6403" width="10.5703125" style="458" customWidth="1"/>
    <col min="6404" max="6404" width="11.85546875" style="458" customWidth="1"/>
    <col min="6405" max="6405" width="0" style="458" hidden="1" customWidth="1"/>
    <col min="6406" max="6406" width="55.5703125" style="458" customWidth="1"/>
    <col min="6407" max="6410" width="14.42578125" style="458" customWidth="1"/>
    <col min="6411" max="6411" width="17.140625" style="458" customWidth="1"/>
    <col min="6412" max="6657" width="8.85546875" style="458"/>
    <col min="6658" max="6658" width="6.140625" style="458" customWidth="1"/>
    <col min="6659" max="6659" width="10.5703125" style="458" customWidth="1"/>
    <col min="6660" max="6660" width="11.85546875" style="458" customWidth="1"/>
    <col min="6661" max="6661" width="0" style="458" hidden="1" customWidth="1"/>
    <col min="6662" max="6662" width="55.5703125" style="458" customWidth="1"/>
    <col min="6663" max="6666" width="14.42578125" style="458" customWidth="1"/>
    <col min="6667" max="6667" width="17.140625" style="458" customWidth="1"/>
    <col min="6668" max="6913" width="8.85546875" style="458"/>
    <col min="6914" max="6914" width="6.140625" style="458" customWidth="1"/>
    <col min="6915" max="6915" width="10.5703125" style="458" customWidth="1"/>
    <col min="6916" max="6916" width="11.85546875" style="458" customWidth="1"/>
    <col min="6917" max="6917" width="0" style="458" hidden="1" customWidth="1"/>
    <col min="6918" max="6918" width="55.5703125" style="458" customWidth="1"/>
    <col min="6919" max="6922" width="14.42578125" style="458" customWidth="1"/>
    <col min="6923" max="6923" width="17.140625" style="458" customWidth="1"/>
    <col min="6924" max="7169" width="8.85546875" style="458"/>
    <col min="7170" max="7170" width="6.140625" style="458" customWidth="1"/>
    <col min="7171" max="7171" width="10.5703125" style="458" customWidth="1"/>
    <col min="7172" max="7172" width="11.85546875" style="458" customWidth="1"/>
    <col min="7173" max="7173" width="0" style="458" hidden="1" customWidth="1"/>
    <col min="7174" max="7174" width="55.5703125" style="458" customWidth="1"/>
    <col min="7175" max="7178" width="14.42578125" style="458" customWidth="1"/>
    <col min="7179" max="7179" width="17.140625" style="458" customWidth="1"/>
    <col min="7180" max="7425" width="8.85546875" style="458"/>
    <col min="7426" max="7426" width="6.140625" style="458" customWidth="1"/>
    <col min="7427" max="7427" width="10.5703125" style="458" customWidth="1"/>
    <col min="7428" max="7428" width="11.85546875" style="458" customWidth="1"/>
    <col min="7429" max="7429" width="0" style="458" hidden="1" customWidth="1"/>
    <col min="7430" max="7430" width="55.5703125" style="458" customWidth="1"/>
    <col min="7431" max="7434" width="14.42578125" style="458" customWidth="1"/>
    <col min="7435" max="7435" width="17.140625" style="458" customWidth="1"/>
    <col min="7436" max="7681" width="8.85546875" style="458"/>
    <col min="7682" max="7682" width="6.140625" style="458" customWidth="1"/>
    <col min="7683" max="7683" width="10.5703125" style="458" customWidth="1"/>
    <col min="7684" max="7684" width="11.85546875" style="458" customWidth="1"/>
    <col min="7685" max="7685" width="0" style="458" hidden="1" customWidth="1"/>
    <col min="7686" max="7686" width="55.5703125" style="458" customWidth="1"/>
    <col min="7687" max="7690" width="14.42578125" style="458" customWidth="1"/>
    <col min="7691" max="7691" width="17.140625" style="458" customWidth="1"/>
    <col min="7692" max="7937" width="8.85546875" style="458"/>
    <col min="7938" max="7938" width="6.140625" style="458" customWidth="1"/>
    <col min="7939" max="7939" width="10.5703125" style="458" customWidth="1"/>
    <col min="7940" max="7940" width="11.85546875" style="458" customWidth="1"/>
    <col min="7941" max="7941" width="0" style="458" hidden="1" customWidth="1"/>
    <col min="7942" max="7942" width="55.5703125" style="458" customWidth="1"/>
    <col min="7943" max="7946" width="14.42578125" style="458" customWidth="1"/>
    <col min="7947" max="7947" width="17.140625" style="458" customWidth="1"/>
    <col min="7948" max="8193" width="8.85546875" style="458"/>
    <col min="8194" max="8194" width="6.140625" style="458" customWidth="1"/>
    <col min="8195" max="8195" width="10.5703125" style="458" customWidth="1"/>
    <col min="8196" max="8196" width="11.85546875" style="458" customWidth="1"/>
    <col min="8197" max="8197" width="0" style="458" hidden="1" customWidth="1"/>
    <col min="8198" max="8198" width="55.5703125" style="458" customWidth="1"/>
    <col min="8199" max="8202" width="14.42578125" style="458" customWidth="1"/>
    <col min="8203" max="8203" width="17.140625" style="458" customWidth="1"/>
    <col min="8204" max="8449" width="8.85546875" style="458"/>
    <col min="8450" max="8450" width="6.140625" style="458" customWidth="1"/>
    <col min="8451" max="8451" width="10.5703125" style="458" customWidth="1"/>
    <col min="8452" max="8452" width="11.85546875" style="458" customWidth="1"/>
    <col min="8453" max="8453" width="0" style="458" hidden="1" customWidth="1"/>
    <col min="8454" max="8454" width="55.5703125" style="458" customWidth="1"/>
    <col min="8455" max="8458" width="14.42578125" style="458" customWidth="1"/>
    <col min="8459" max="8459" width="17.140625" style="458" customWidth="1"/>
    <col min="8460" max="8705" width="8.85546875" style="458"/>
    <col min="8706" max="8706" width="6.140625" style="458" customWidth="1"/>
    <col min="8707" max="8707" width="10.5703125" style="458" customWidth="1"/>
    <col min="8708" max="8708" width="11.85546875" style="458" customWidth="1"/>
    <col min="8709" max="8709" width="0" style="458" hidden="1" customWidth="1"/>
    <col min="8710" max="8710" width="55.5703125" style="458" customWidth="1"/>
    <col min="8711" max="8714" width="14.42578125" style="458" customWidth="1"/>
    <col min="8715" max="8715" width="17.140625" style="458" customWidth="1"/>
    <col min="8716" max="8961" width="8.85546875" style="458"/>
    <col min="8962" max="8962" width="6.140625" style="458" customWidth="1"/>
    <col min="8963" max="8963" width="10.5703125" style="458" customWidth="1"/>
    <col min="8964" max="8964" width="11.85546875" style="458" customWidth="1"/>
    <col min="8965" max="8965" width="0" style="458" hidden="1" customWidth="1"/>
    <col min="8966" max="8966" width="55.5703125" style="458" customWidth="1"/>
    <col min="8967" max="8970" width="14.42578125" style="458" customWidth="1"/>
    <col min="8971" max="8971" width="17.140625" style="458" customWidth="1"/>
    <col min="8972" max="9217" width="8.85546875" style="458"/>
    <col min="9218" max="9218" width="6.140625" style="458" customWidth="1"/>
    <col min="9219" max="9219" width="10.5703125" style="458" customWidth="1"/>
    <col min="9220" max="9220" width="11.85546875" style="458" customWidth="1"/>
    <col min="9221" max="9221" width="0" style="458" hidden="1" customWidth="1"/>
    <col min="9222" max="9222" width="55.5703125" style="458" customWidth="1"/>
    <col min="9223" max="9226" width="14.42578125" style="458" customWidth="1"/>
    <col min="9227" max="9227" width="17.140625" style="458" customWidth="1"/>
    <col min="9228" max="9473" width="8.85546875" style="458"/>
    <col min="9474" max="9474" width="6.140625" style="458" customWidth="1"/>
    <col min="9475" max="9475" width="10.5703125" style="458" customWidth="1"/>
    <col min="9476" max="9476" width="11.85546875" style="458" customWidth="1"/>
    <col min="9477" max="9477" width="0" style="458" hidden="1" customWidth="1"/>
    <col min="9478" max="9478" width="55.5703125" style="458" customWidth="1"/>
    <col min="9479" max="9482" width="14.42578125" style="458" customWidth="1"/>
    <col min="9483" max="9483" width="17.140625" style="458" customWidth="1"/>
    <col min="9484" max="9729" width="8.85546875" style="458"/>
    <col min="9730" max="9730" width="6.140625" style="458" customWidth="1"/>
    <col min="9731" max="9731" width="10.5703125" style="458" customWidth="1"/>
    <col min="9732" max="9732" width="11.85546875" style="458" customWidth="1"/>
    <col min="9733" max="9733" width="0" style="458" hidden="1" customWidth="1"/>
    <col min="9734" max="9734" width="55.5703125" style="458" customWidth="1"/>
    <col min="9735" max="9738" width="14.42578125" style="458" customWidth="1"/>
    <col min="9739" max="9739" width="17.140625" style="458" customWidth="1"/>
    <col min="9740" max="9985" width="8.85546875" style="458"/>
    <col min="9986" max="9986" width="6.140625" style="458" customWidth="1"/>
    <col min="9987" max="9987" width="10.5703125" style="458" customWidth="1"/>
    <col min="9988" max="9988" width="11.85546875" style="458" customWidth="1"/>
    <col min="9989" max="9989" width="0" style="458" hidden="1" customWidth="1"/>
    <col min="9990" max="9990" width="55.5703125" style="458" customWidth="1"/>
    <col min="9991" max="9994" width="14.42578125" style="458" customWidth="1"/>
    <col min="9995" max="9995" width="17.140625" style="458" customWidth="1"/>
    <col min="9996" max="10241" width="8.85546875" style="458"/>
    <col min="10242" max="10242" width="6.140625" style="458" customWidth="1"/>
    <col min="10243" max="10243" width="10.5703125" style="458" customWidth="1"/>
    <col min="10244" max="10244" width="11.85546875" style="458" customWidth="1"/>
    <col min="10245" max="10245" width="0" style="458" hidden="1" customWidth="1"/>
    <col min="10246" max="10246" width="55.5703125" style="458" customWidth="1"/>
    <col min="10247" max="10250" width="14.42578125" style="458" customWidth="1"/>
    <col min="10251" max="10251" width="17.140625" style="458" customWidth="1"/>
    <col min="10252" max="10497" width="8.85546875" style="458"/>
    <col min="10498" max="10498" width="6.140625" style="458" customWidth="1"/>
    <col min="10499" max="10499" width="10.5703125" style="458" customWidth="1"/>
    <col min="10500" max="10500" width="11.85546875" style="458" customWidth="1"/>
    <col min="10501" max="10501" width="0" style="458" hidden="1" customWidth="1"/>
    <col min="10502" max="10502" width="55.5703125" style="458" customWidth="1"/>
    <col min="10503" max="10506" width="14.42578125" style="458" customWidth="1"/>
    <col min="10507" max="10507" width="17.140625" style="458" customWidth="1"/>
    <col min="10508" max="10753" width="8.85546875" style="458"/>
    <col min="10754" max="10754" width="6.140625" style="458" customWidth="1"/>
    <col min="10755" max="10755" width="10.5703125" style="458" customWidth="1"/>
    <col min="10756" max="10756" width="11.85546875" style="458" customWidth="1"/>
    <col min="10757" max="10757" width="0" style="458" hidden="1" customWidth="1"/>
    <col min="10758" max="10758" width="55.5703125" style="458" customWidth="1"/>
    <col min="10759" max="10762" width="14.42578125" style="458" customWidth="1"/>
    <col min="10763" max="10763" width="17.140625" style="458" customWidth="1"/>
    <col min="10764" max="11009" width="8.85546875" style="458"/>
    <col min="11010" max="11010" width="6.140625" style="458" customWidth="1"/>
    <col min="11011" max="11011" width="10.5703125" style="458" customWidth="1"/>
    <col min="11012" max="11012" width="11.85546875" style="458" customWidth="1"/>
    <col min="11013" max="11013" width="0" style="458" hidden="1" customWidth="1"/>
    <col min="11014" max="11014" width="55.5703125" style="458" customWidth="1"/>
    <col min="11015" max="11018" width="14.42578125" style="458" customWidth="1"/>
    <col min="11019" max="11019" width="17.140625" style="458" customWidth="1"/>
    <col min="11020" max="11265" width="8.85546875" style="458"/>
    <col min="11266" max="11266" width="6.140625" style="458" customWidth="1"/>
    <col min="11267" max="11267" width="10.5703125" style="458" customWidth="1"/>
    <col min="11268" max="11268" width="11.85546875" style="458" customWidth="1"/>
    <col min="11269" max="11269" width="0" style="458" hidden="1" customWidth="1"/>
    <col min="11270" max="11270" width="55.5703125" style="458" customWidth="1"/>
    <col min="11271" max="11274" width="14.42578125" style="458" customWidth="1"/>
    <col min="11275" max="11275" width="17.140625" style="458" customWidth="1"/>
    <col min="11276" max="11521" width="8.85546875" style="458"/>
    <col min="11522" max="11522" width="6.140625" style="458" customWidth="1"/>
    <col min="11523" max="11523" width="10.5703125" style="458" customWidth="1"/>
    <col min="11524" max="11524" width="11.85546875" style="458" customWidth="1"/>
    <col min="11525" max="11525" width="0" style="458" hidden="1" customWidth="1"/>
    <col min="11526" max="11526" width="55.5703125" style="458" customWidth="1"/>
    <col min="11527" max="11530" width="14.42578125" style="458" customWidth="1"/>
    <col min="11531" max="11531" width="17.140625" style="458" customWidth="1"/>
    <col min="11532" max="11777" width="8.85546875" style="458"/>
    <col min="11778" max="11778" width="6.140625" style="458" customWidth="1"/>
    <col min="11779" max="11779" width="10.5703125" style="458" customWidth="1"/>
    <col min="11780" max="11780" width="11.85546875" style="458" customWidth="1"/>
    <col min="11781" max="11781" width="0" style="458" hidden="1" customWidth="1"/>
    <col min="11782" max="11782" width="55.5703125" style="458" customWidth="1"/>
    <col min="11783" max="11786" width="14.42578125" style="458" customWidth="1"/>
    <col min="11787" max="11787" width="17.140625" style="458" customWidth="1"/>
    <col min="11788" max="12033" width="8.85546875" style="458"/>
    <col min="12034" max="12034" width="6.140625" style="458" customWidth="1"/>
    <col min="12035" max="12035" width="10.5703125" style="458" customWidth="1"/>
    <col min="12036" max="12036" width="11.85546875" style="458" customWidth="1"/>
    <col min="12037" max="12037" width="0" style="458" hidden="1" customWidth="1"/>
    <col min="12038" max="12038" width="55.5703125" style="458" customWidth="1"/>
    <col min="12039" max="12042" width="14.42578125" style="458" customWidth="1"/>
    <col min="12043" max="12043" width="17.140625" style="458" customWidth="1"/>
    <col min="12044" max="12289" width="8.85546875" style="458"/>
    <col min="12290" max="12290" width="6.140625" style="458" customWidth="1"/>
    <col min="12291" max="12291" width="10.5703125" style="458" customWidth="1"/>
    <col min="12292" max="12292" width="11.85546875" style="458" customWidth="1"/>
    <col min="12293" max="12293" width="0" style="458" hidden="1" customWidth="1"/>
    <col min="12294" max="12294" width="55.5703125" style="458" customWidth="1"/>
    <col min="12295" max="12298" width="14.42578125" style="458" customWidth="1"/>
    <col min="12299" max="12299" width="17.140625" style="458" customWidth="1"/>
    <col min="12300" max="12545" width="8.85546875" style="458"/>
    <col min="12546" max="12546" width="6.140625" style="458" customWidth="1"/>
    <col min="12547" max="12547" width="10.5703125" style="458" customWidth="1"/>
    <col min="12548" max="12548" width="11.85546875" style="458" customWidth="1"/>
    <col min="12549" max="12549" width="0" style="458" hidden="1" customWidth="1"/>
    <col min="12550" max="12550" width="55.5703125" style="458" customWidth="1"/>
    <col min="12551" max="12554" width="14.42578125" style="458" customWidth="1"/>
    <col min="12555" max="12555" width="17.140625" style="458" customWidth="1"/>
    <col min="12556" max="12801" width="8.85546875" style="458"/>
    <col min="12802" max="12802" width="6.140625" style="458" customWidth="1"/>
    <col min="12803" max="12803" width="10.5703125" style="458" customWidth="1"/>
    <col min="12804" max="12804" width="11.85546875" style="458" customWidth="1"/>
    <col min="12805" max="12805" width="0" style="458" hidden="1" customWidth="1"/>
    <col min="12806" max="12806" width="55.5703125" style="458" customWidth="1"/>
    <col min="12807" max="12810" width="14.42578125" style="458" customWidth="1"/>
    <col min="12811" max="12811" width="17.140625" style="458" customWidth="1"/>
    <col min="12812" max="13057" width="8.85546875" style="458"/>
    <col min="13058" max="13058" width="6.140625" style="458" customWidth="1"/>
    <col min="13059" max="13059" width="10.5703125" style="458" customWidth="1"/>
    <col min="13060" max="13060" width="11.85546875" style="458" customWidth="1"/>
    <col min="13061" max="13061" width="0" style="458" hidden="1" customWidth="1"/>
    <col min="13062" max="13062" width="55.5703125" style="458" customWidth="1"/>
    <col min="13063" max="13066" width="14.42578125" style="458" customWidth="1"/>
    <col min="13067" max="13067" width="17.140625" style="458" customWidth="1"/>
    <col min="13068" max="13313" width="8.85546875" style="458"/>
    <col min="13314" max="13314" width="6.140625" style="458" customWidth="1"/>
    <col min="13315" max="13315" width="10.5703125" style="458" customWidth="1"/>
    <col min="13316" max="13316" width="11.85546875" style="458" customWidth="1"/>
    <col min="13317" max="13317" width="0" style="458" hidden="1" customWidth="1"/>
    <col min="13318" max="13318" width="55.5703125" style="458" customWidth="1"/>
    <col min="13319" max="13322" width="14.42578125" style="458" customWidth="1"/>
    <col min="13323" max="13323" width="17.140625" style="458" customWidth="1"/>
    <col min="13324" max="13569" width="8.85546875" style="458"/>
    <col min="13570" max="13570" width="6.140625" style="458" customWidth="1"/>
    <col min="13571" max="13571" width="10.5703125" style="458" customWidth="1"/>
    <col min="13572" max="13572" width="11.85546875" style="458" customWidth="1"/>
    <col min="13573" max="13573" width="0" style="458" hidden="1" customWidth="1"/>
    <col min="13574" max="13574" width="55.5703125" style="458" customWidth="1"/>
    <col min="13575" max="13578" width="14.42578125" style="458" customWidth="1"/>
    <col min="13579" max="13579" width="17.140625" style="458" customWidth="1"/>
    <col min="13580" max="13825" width="8.85546875" style="458"/>
    <col min="13826" max="13826" width="6.140625" style="458" customWidth="1"/>
    <col min="13827" max="13827" width="10.5703125" style="458" customWidth="1"/>
    <col min="13828" max="13828" width="11.85546875" style="458" customWidth="1"/>
    <col min="13829" max="13829" width="0" style="458" hidden="1" customWidth="1"/>
    <col min="13830" max="13830" width="55.5703125" style="458" customWidth="1"/>
    <col min="13831" max="13834" width="14.42578125" style="458" customWidth="1"/>
    <col min="13835" max="13835" width="17.140625" style="458" customWidth="1"/>
    <col min="13836" max="14081" width="8.85546875" style="458"/>
    <col min="14082" max="14082" width="6.140625" style="458" customWidth="1"/>
    <col min="14083" max="14083" width="10.5703125" style="458" customWidth="1"/>
    <col min="14084" max="14084" width="11.85546875" style="458" customWidth="1"/>
    <col min="14085" max="14085" width="0" style="458" hidden="1" customWidth="1"/>
    <col min="14086" max="14086" width="55.5703125" style="458" customWidth="1"/>
    <col min="14087" max="14090" width="14.42578125" style="458" customWidth="1"/>
    <col min="14091" max="14091" width="17.140625" style="458" customWidth="1"/>
    <col min="14092" max="14337" width="8.85546875" style="458"/>
    <col min="14338" max="14338" width="6.140625" style="458" customWidth="1"/>
    <col min="14339" max="14339" width="10.5703125" style="458" customWidth="1"/>
    <col min="14340" max="14340" width="11.85546875" style="458" customWidth="1"/>
    <col min="14341" max="14341" width="0" style="458" hidden="1" customWidth="1"/>
    <col min="14342" max="14342" width="55.5703125" style="458" customWidth="1"/>
    <col min="14343" max="14346" width="14.42578125" style="458" customWidth="1"/>
    <col min="14347" max="14347" width="17.140625" style="458" customWidth="1"/>
    <col min="14348" max="14593" width="8.85546875" style="458"/>
    <col min="14594" max="14594" width="6.140625" style="458" customWidth="1"/>
    <col min="14595" max="14595" width="10.5703125" style="458" customWidth="1"/>
    <col min="14596" max="14596" width="11.85546875" style="458" customWidth="1"/>
    <col min="14597" max="14597" width="0" style="458" hidden="1" customWidth="1"/>
    <col min="14598" max="14598" width="55.5703125" style="458" customWidth="1"/>
    <col min="14599" max="14602" width="14.42578125" style="458" customWidth="1"/>
    <col min="14603" max="14603" width="17.140625" style="458" customWidth="1"/>
    <col min="14604" max="14849" width="8.85546875" style="458"/>
    <col min="14850" max="14850" width="6.140625" style="458" customWidth="1"/>
    <col min="14851" max="14851" width="10.5703125" style="458" customWidth="1"/>
    <col min="14852" max="14852" width="11.85546875" style="458" customWidth="1"/>
    <col min="14853" max="14853" width="0" style="458" hidden="1" customWidth="1"/>
    <col min="14854" max="14854" width="55.5703125" style="458" customWidth="1"/>
    <col min="14855" max="14858" width="14.42578125" style="458" customWidth="1"/>
    <col min="14859" max="14859" width="17.140625" style="458" customWidth="1"/>
    <col min="14860" max="15105" width="8.85546875" style="458"/>
    <col min="15106" max="15106" width="6.140625" style="458" customWidth="1"/>
    <col min="15107" max="15107" width="10.5703125" style="458" customWidth="1"/>
    <col min="15108" max="15108" width="11.85546875" style="458" customWidth="1"/>
    <col min="15109" max="15109" width="0" style="458" hidden="1" customWidth="1"/>
    <col min="15110" max="15110" width="55.5703125" style="458" customWidth="1"/>
    <col min="15111" max="15114" width="14.42578125" style="458" customWidth="1"/>
    <col min="15115" max="15115" width="17.140625" style="458" customWidth="1"/>
    <col min="15116" max="15361" width="8.85546875" style="458"/>
    <col min="15362" max="15362" width="6.140625" style="458" customWidth="1"/>
    <col min="15363" max="15363" width="10.5703125" style="458" customWidth="1"/>
    <col min="15364" max="15364" width="11.85546875" style="458" customWidth="1"/>
    <col min="15365" max="15365" width="0" style="458" hidden="1" customWidth="1"/>
    <col min="15366" max="15366" width="55.5703125" style="458" customWidth="1"/>
    <col min="15367" max="15370" width="14.42578125" style="458" customWidth="1"/>
    <col min="15371" max="15371" width="17.140625" style="458" customWidth="1"/>
    <col min="15372" max="15617" width="8.85546875" style="458"/>
    <col min="15618" max="15618" width="6.140625" style="458" customWidth="1"/>
    <col min="15619" max="15619" width="10.5703125" style="458" customWidth="1"/>
    <col min="15620" max="15620" width="11.85546875" style="458" customWidth="1"/>
    <col min="15621" max="15621" width="0" style="458" hidden="1" customWidth="1"/>
    <col min="15622" max="15622" width="55.5703125" style="458" customWidth="1"/>
    <col min="15623" max="15626" width="14.42578125" style="458" customWidth="1"/>
    <col min="15627" max="15627" width="17.140625" style="458" customWidth="1"/>
    <col min="15628" max="15873" width="8.85546875" style="458"/>
    <col min="15874" max="15874" width="6.140625" style="458" customWidth="1"/>
    <col min="15875" max="15875" width="10.5703125" style="458" customWidth="1"/>
    <col min="15876" max="15876" width="11.85546875" style="458" customWidth="1"/>
    <col min="15877" max="15877" width="0" style="458" hidden="1" customWidth="1"/>
    <col min="15878" max="15878" width="55.5703125" style="458" customWidth="1"/>
    <col min="15879" max="15882" width="14.42578125" style="458" customWidth="1"/>
    <col min="15883" max="15883" width="17.140625" style="458" customWidth="1"/>
    <col min="15884" max="16129" width="8.85546875" style="458"/>
    <col min="16130" max="16130" width="6.140625" style="458" customWidth="1"/>
    <col min="16131" max="16131" width="10.5703125" style="458" customWidth="1"/>
    <col min="16132" max="16132" width="11.85546875" style="458" customWidth="1"/>
    <col min="16133" max="16133" width="0" style="458" hidden="1" customWidth="1"/>
    <col min="16134" max="16134" width="55.5703125" style="458" customWidth="1"/>
    <col min="16135" max="16138" width="14.42578125" style="458" customWidth="1"/>
    <col min="16139" max="16139" width="17.140625" style="458" customWidth="1"/>
    <col min="16140" max="16384" width="8.85546875" style="458"/>
  </cols>
  <sheetData>
    <row r="1" spans="1:11" x14ac:dyDescent="0.25">
      <c r="A1" s="654" t="s">
        <v>539</v>
      </c>
      <c r="B1" s="654"/>
      <c r="C1" s="654"/>
      <c r="D1" s="654"/>
      <c r="E1" s="654"/>
      <c r="F1" s="654"/>
      <c r="G1" s="654"/>
      <c r="H1" s="654"/>
      <c r="I1" s="654"/>
      <c r="J1" s="368"/>
    </row>
    <row r="2" spans="1:11" x14ac:dyDescent="0.25">
      <c r="A2" s="654" t="s">
        <v>540</v>
      </c>
      <c r="B2" s="654"/>
      <c r="C2" s="654"/>
      <c r="D2" s="654"/>
      <c r="E2" s="654"/>
      <c r="F2" s="654"/>
      <c r="G2" s="654"/>
      <c r="H2" s="654"/>
      <c r="I2" s="654"/>
      <c r="J2" s="368"/>
    </row>
    <row r="3" spans="1:11" x14ac:dyDescent="0.25">
      <c r="A3" s="715" t="str">
        <f>'59'!A4</f>
        <v>(Kèm theo Nghị quyết số 13/NQ-HĐND ngày 25 tháng 3 năm 2026 của HĐND  xã Quỳnh Nhai)</v>
      </c>
      <c r="B3" s="715"/>
      <c r="C3" s="715"/>
      <c r="D3" s="715"/>
      <c r="E3" s="716"/>
      <c r="F3" s="716"/>
      <c r="G3" s="716"/>
      <c r="H3" s="716"/>
      <c r="I3" s="716"/>
      <c r="J3" s="566"/>
    </row>
    <row r="4" spans="1:11" x14ac:dyDescent="0.25">
      <c r="A4" s="550"/>
      <c r="B4" s="550"/>
      <c r="C4" s="550"/>
      <c r="D4" s="550"/>
      <c r="E4" s="550"/>
      <c r="F4" s="550"/>
      <c r="G4" s="550"/>
      <c r="H4" s="668" t="s">
        <v>541</v>
      </c>
      <c r="I4" s="668"/>
      <c r="J4" s="567"/>
    </row>
    <row r="5" spans="1:11" s="551" customFormat="1" ht="24.6" customHeight="1" x14ac:dyDescent="0.25">
      <c r="A5" s="714" t="s">
        <v>14</v>
      </c>
      <c r="B5" s="717" t="s">
        <v>542</v>
      </c>
      <c r="C5" s="718"/>
      <c r="D5" s="719" t="s">
        <v>543</v>
      </c>
      <c r="E5" s="714" t="s">
        <v>15</v>
      </c>
      <c r="F5" s="714" t="s">
        <v>544</v>
      </c>
      <c r="G5" s="714" t="s">
        <v>562</v>
      </c>
      <c r="H5" s="714" t="s">
        <v>545</v>
      </c>
      <c r="I5" s="714" t="s">
        <v>546</v>
      </c>
      <c r="J5" s="568"/>
    </row>
    <row r="6" spans="1:11" s="551" customFormat="1" ht="38.450000000000003" customHeight="1" x14ac:dyDescent="0.25">
      <c r="A6" s="714"/>
      <c r="B6" s="552" t="s">
        <v>547</v>
      </c>
      <c r="C6" s="552" t="s">
        <v>548</v>
      </c>
      <c r="D6" s="720"/>
      <c r="E6" s="714"/>
      <c r="F6" s="714"/>
      <c r="G6" s="714"/>
      <c r="H6" s="714"/>
      <c r="I6" s="714"/>
      <c r="J6" s="568"/>
    </row>
    <row r="7" spans="1:11" s="551" customFormat="1" ht="29.45" customHeight="1" x14ac:dyDescent="0.25">
      <c r="A7" s="369"/>
      <c r="B7" s="369"/>
      <c r="C7" s="369"/>
      <c r="D7" s="369"/>
      <c r="E7" s="369" t="s">
        <v>216</v>
      </c>
      <c r="F7" s="565">
        <f>3173390000-58973000</f>
        <v>3114417000</v>
      </c>
      <c r="G7" s="565">
        <f>F7</f>
        <v>3114417000</v>
      </c>
      <c r="H7" s="565">
        <f>SUM(H8:H18)</f>
        <v>3114317000</v>
      </c>
      <c r="I7" s="565">
        <f>G7-H7</f>
        <v>100000</v>
      </c>
      <c r="J7" s="569"/>
    </row>
    <row r="8" spans="1:11" s="556" customFormat="1" ht="37.35" customHeight="1" x14ac:dyDescent="0.25">
      <c r="A8" s="374">
        <v>1</v>
      </c>
      <c r="B8" s="374">
        <v>372</v>
      </c>
      <c r="C8" s="553" t="s">
        <v>549</v>
      </c>
      <c r="D8" s="553"/>
      <c r="E8" s="484" t="s">
        <v>550</v>
      </c>
      <c r="F8" s="572"/>
      <c r="G8" s="554"/>
      <c r="H8" s="571">
        <v>20000000</v>
      </c>
      <c r="I8" s="554"/>
      <c r="J8" s="570"/>
      <c r="K8" s="555"/>
    </row>
    <row r="9" spans="1:11" s="556" customFormat="1" ht="37.35" customHeight="1" x14ac:dyDescent="0.25">
      <c r="A9" s="374">
        <v>2</v>
      </c>
      <c r="B9" s="374">
        <v>372</v>
      </c>
      <c r="C9" s="553" t="s">
        <v>549</v>
      </c>
      <c r="D9" s="557"/>
      <c r="E9" s="484" t="s">
        <v>551</v>
      </c>
      <c r="F9" s="572"/>
      <c r="G9" s="554"/>
      <c r="H9" s="571">
        <v>28763000</v>
      </c>
      <c r="I9" s="554"/>
      <c r="J9" s="570"/>
      <c r="K9" s="555"/>
    </row>
    <row r="10" spans="1:11" s="556" customFormat="1" ht="37.35" customHeight="1" x14ac:dyDescent="0.25">
      <c r="A10" s="374">
        <v>3</v>
      </c>
      <c r="B10" s="374">
        <v>454</v>
      </c>
      <c r="C10" s="553">
        <v>45926</v>
      </c>
      <c r="D10" s="557"/>
      <c r="E10" s="484" t="s">
        <v>552</v>
      </c>
      <c r="F10" s="572"/>
      <c r="G10" s="554"/>
      <c r="H10" s="571">
        <v>2000000000</v>
      </c>
      <c r="I10" s="554"/>
      <c r="J10" s="570"/>
      <c r="K10" s="555"/>
    </row>
    <row r="11" spans="1:11" s="556" customFormat="1" ht="55.7" customHeight="1" x14ac:dyDescent="0.25">
      <c r="A11" s="374">
        <v>4</v>
      </c>
      <c r="B11" s="374">
        <v>545</v>
      </c>
      <c r="C11" s="557">
        <v>45954</v>
      </c>
      <c r="D11" s="557"/>
      <c r="E11" s="484" t="s">
        <v>553</v>
      </c>
      <c r="F11" s="572"/>
      <c r="G11" s="554"/>
      <c r="H11" s="571">
        <v>57564000</v>
      </c>
      <c r="I11" s="554"/>
      <c r="J11" s="570"/>
      <c r="K11" s="555"/>
    </row>
    <row r="12" spans="1:11" s="556" customFormat="1" ht="37.35" customHeight="1" x14ac:dyDescent="0.25">
      <c r="A12" s="374">
        <v>5</v>
      </c>
      <c r="B12" s="374">
        <v>545</v>
      </c>
      <c r="C12" s="557">
        <v>45954</v>
      </c>
      <c r="D12" s="558"/>
      <c r="E12" s="484" t="s">
        <v>554</v>
      </c>
      <c r="F12" s="572"/>
      <c r="G12" s="554"/>
      <c r="H12" s="571">
        <v>214000000</v>
      </c>
      <c r="I12" s="554"/>
      <c r="J12" s="570"/>
      <c r="K12" s="555"/>
    </row>
    <row r="13" spans="1:11" s="556" customFormat="1" ht="37.35" customHeight="1" x14ac:dyDescent="0.25">
      <c r="A13" s="374">
        <v>6</v>
      </c>
      <c r="B13" s="374">
        <v>545</v>
      </c>
      <c r="C13" s="557">
        <v>45954</v>
      </c>
      <c r="D13" s="558"/>
      <c r="E13" s="559" t="s">
        <v>555</v>
      </c>
      <c r="F13" s="572"/>
      <c r="G13" s="554"/>
      <c r="H13" s="571">
        <v>4600000.0000000009</v>
      </c>
      <c r="I13" s="554"/>
      <c r="J13" s="570"/>
      <c r="K13" s="555"/>
    </row>
    <row r="14" spans="1:11" s="370" customFormat="1" ht="37.35" customHeight="1" x14ac:dyDescent="0.25">
      <c r="A14" s="560"/>
      <c r="B14" s="560">
        <v>688</v>
      </c>
      <c r="C14" s="561">
        <v>45997</v>
      </c>
      <c r="D14" s="560"/>
      <c r="E14" s="559" t="s">
        <v>556</v>
      </c>
      <c r="F14" s="573"/>
      <c r="G14" s="573"/>
      <c r="H14" s="574">
        <v>548236000</v>
      </c>
      <c r="I14" s="575"/>
      <c r="J14" s="570"/>
    </row>
    <row r="15" spans="1:11" s="370" customFormat="1" ht="37.35" customHeight="1" x14ac:dyDescent="0.25">
      <c r="A15" s="560"/>
      <c r="B15" s="560">
        <v>780</v>
      </c>
      <c r="C15" s="562" t="s">
        <v>557</v>
      </c>
      <c r="D15" s="560"/>
      <c r="E15" s="484" t="s">
        <v>558</v>
      </c>
      <c r="F15" s="573"/>
      <c r="G15" s="573"/>
      <c r="H15" s="574">
        <v>-2000000000</v>
      </c>
      <c r="I15" s="575"/>
      <c r="J15" s="570"/>
    </row>
    <row r="16" spans="1:11" s="370" customFormat="1" ht="37.35" customHeight="1" x14ac:dyDescent="0.25">
      <c r="A16" s="560"/>
      <c r="B16" s="560">
        <v>780</v>
      </c>
      <c r="C16" s="562" t="s">
        <v>557</v>
      </c>
      <c r="D16" s="560"/>
      <c r="E16" s="559" t="s">
        <v>559</v>
      </c>
      <c r="F16" s="573"/>
      <c r="G16" s="573"/>
      <c r="H16" s="574">
        <v>2083135000.0000002</v>
      </c>
      <c r="I16" s="575"/>
      <c r="J16" s="570"/>
    </row>
    <row r="17" spans="1:10" s="370" customFormat="1" ht="37.35" customHeight="1" x14ac:dyDescent="0.25">
      <c r="A17" s="560"/>
      <c r="B17" s="560">
        <v>780</v>
      </c>
      <c r="C17" s="562" t="s">
        <v>557</v>
      </c>
      <c r="D17" s="560"/>
      <c r="E17" s="484" t="s">
        <v>560</v>
      </c>
      <c r="F17" s="573"/>
      <c r="G17" s="573"/>
      <c r="H17" s="574">
        <v>38890000</v>
      </c>
      <c r="I17" s="575"/>
      <c r="J17" s="570"/>
    </row>
    <row r="18" spans="1:10" s="370" customFormat="1" ht="37.35" customHeight="1" x14ac:dyDescent="0.25">
      <c r="A18" s="560"/>
      <c r="B18" s="560">
        <v>780</v>
      </c>
      <c r="C18" s="562" t="s">
        <v>557</v>
      </c>
      <c r="D18" s="560"/>
      <c r="E18" s="484" t="s">
        <v>561</v>
      </c>
      <c r="F18" s="573"/>
      <c r="G18" s="573"/>
      <c r="H18" s="574">
        <v>119128999.99999999</v>
      </c>
      <c r="I18" s="575"/>
      <c r="J18" s="570"/>
    </row>
    <row r="19" spans="1:10" x14ac:dyDescent="0.25">
      <c r="H19" s="564"/>
    </row>
    <row r="20" spans="1:10" x14ac:dyDescent="0.25">
      <c r="H20" s="564"/>
    </row>
  </sheetData>
  <mergeCells count="12">
    <mergeCell ref="H5:H6"/>
    <mergeCell ref="I5:I6"/>
    <mergeCell ref="A1:I1"/>
    <mergeCell ref="A2:I2"/>
    <mergeCell ref="A3:I3"/>
    <mergeCell ref="H4:I4"/>
    <mergeCell ref="A5:A6"/>
    <mergeCell ref="B5:C5"/>
    <mergeCell ref="D5:D6"/>
    <mergeCell ref="E5:E6"/>
    <mergeCell ref="F5:F6"/>
    <mergeCell ref="G5:G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45"/>
  <sheetViews>
    <sheetView zoomScale="90" zoomScaleNormal="90" workbookViewId="0">
      <pane xSplit="7" ySplit="9" topLeftCell="H119" activePane="bottomRight" state="frozen"/>
      <selection pane="topRight" activeCell="H1" sqref="H1"/>
      <selection pane="bottomLeft" activeCell="A11" sqref="A11"/>
      <selection pane="bottomRight" activeCell="F9" sqref="F9"/>
    </sheetView>
  </sheetViews>
  <sheetFormatPr defaultColWidth="9.140625" defaultRowHeight="15" x14ac:dyDescent="0.25"/>
  <cols>
    <col min="1" max="1" width="5" style="47" customWidth="1"/>
    <col min="2" max="2" width="40.85546875" style="47" customWidth="1"/>
    <col min="3" max="4" width="13.42578125" style="47" customWidth="1"/>
    <col min="5" max="5" width="15.85546875" style="47" customWidth="1"/>
    <col min="6" max="6" width="11" style="47" customWidth="1"/>
    <col min="7" max="7" width="11.85546875" style="47" customWidth="1"/>
    <col min="8" max="8" width="15.85546875" style="47" customWidth="1"/>
    <col min="9" max="10" width="8.42578125" style="47" customWidth="1"/>
    <col min="11" max="11" width="22.85546875" style="47" customWidth="1"/>
    <col min="12" max="12" width="18" style="47" customWidth="1"/>
    <col min="13" max="13" width="41.42578125" style="47" customWidth="1"/>
    <col min="14" max="14" width="20.5703125" style="47" customWidth="1"/>
    <col min="15" max="15" width="23.42578125" style="47" customWidth="1"/>
    <col min="16" max="16" width="16.5703125" style="47" customWidth="1"/>
    <col min="17" max="16384" width="9.140625" style="47"/>
  </cols>
  <sheetData>
    <row r="1" spans="1:16" ht="18.75" customHeight="1" x14ac:dyDescent="0.25">
      <c r="A1" s="600" t="s">
        <v>537</v>
      </c>
      <c r="B1" s="600"/>
      <c r="C1" s="600"/>
      <c r="D1" s="600"/>
      <c r="E1" s="600"/>
      <c r="F1" s="600"/>
      <c r="G1" s="600"/>
      <c r="H1" s="600"/>
      <c r="I1" s="600"/>
      <c r="J1" s="600"/>
      <c r="K1" s="399"/>
    </row>
    <row r="2" spans="1:16" ht="18.75" x14ac:dyDescent="0.3">
      <c r="A2" s="627" t="s">
        <v>608</v>
      </c>
      <c r="B2" s="627"/>
      <c r="C2" s="627"/>
      <c r="D2" s="627"/>
      <c r="E2" s="627"/>
      <c r="F2" s="627"/>
      <c r="G2" s="627"/>
      <c r="H2" s="627"/>
      <c r="I2" s="627"/>
      <c r="J2" s="627"/>
    </row>
    <row r="3" spans="1:16" ht="18.75" x14ac:dyDescent="0.3">
      <c r="A3" s="628" t="str">
        <f>'59'!A4:K4</f>
        <v>(Kèm theo Nghị quyết số 13/NQ-HĐND ngày 25 tháng 3 năm 2026 của HĐND  xã Quỳnh Nhai)</v>
      </c>
      <c r="B3" s="628"/>
      <c r="C3" s="628"/>
      <c r="D3" s="628"/>
      <c r="E3" s="628"/>
      <c r="F3" s="628"/>
      <c r="G3" s="628"/>
      <c r="H3" s="628"/>
      <c r="I3" s="628"/>
      <c r="J3" s="628"/>
    </row>
    <row r="4" spans="1:16" ht="28.5" customHeight="1" x14ac:dyDescent="0.25">
      <c r="I4" s="626" t="s">
        <v>227</v>
      </c>
      <c r="J4" s="626"/>
    </row>
    <row r="5" spans="1:16" ht="21.75" customHeight="1" x14ac:dyDescent="0.25">
      <c r="A5" s="625" t="s">
        <v>14</v>
      </c>
      <c r="B5" s="625" t="s">
        <v>15</v>
      </c>
      <c r="C5" s="625" t="s">
        <v>16</v>
      </c>
      <c r="D5" s="625"/>
      <c r="E5" s="625" t="s">
        <v>17</v>
      </c>
      <c r="F5" s="625" t="s">
        <v>311</v>
      </c>
      <c r="G5" s="625"/>
      <c r="H5" s="625"/>
      <c r="I5" s="625" t="s">
        <v>18</v>
      </c>
      <c r="J5" s="625"/>
    </row>
    <row r="6" spans="1:16" ht="43.5" customHeight="1" x14ac:dyDescent="0.25">
      <c r="A6" s="625"/>
      <c r="B6" s="625"/>
      <c r="C6" s="88" t="s">
        <v>312</v>
      </c>
      <c r="D6" s="88" t="s">
        <v>19</v>
      </c>
      <c r="E6" s="625"/>
      <c r="F6" s="88" t="s">
        <v>20</v>
      </c>
      <c r="G6" s="88" t="s">
        <v>2</v>
      </c>
      <c r="H6" s="88" t="s">
        <v>4</v>
      </c>
      <c r="I6" s="88" t="s">
        <v>312</v>
      </c>
      <c r="J6" s="88" t="s">
        <v>19</v>
      </c>
    </row>
    <row r="7" spans="1:16" s="49" customFormat="1" ht="21.75" customHeight="1" x14ac:dyDescent="0.2">
      <c r="A7" s="48" t="s">
        <v>21</v>
      </c>
      <c r="B7" s="48" t="s">
        <v>22</v>
      </c>
      <c r="C7" s="48">
        <v>1</v>
      </c>
      <c r="D7" s="48">
        <v>2</v>
      </c>
      <c r="E7" s="48" t="s">
        <v>239</v>
      </c>
      <c r="F7" s="48">
        <v>4</v>
      </c>
      <c r="G7" s="48">
        <v>5</v>
      </c>
      <c r="H7" s="48">
        <v>6</v>
      </c>
      <c r="I7" s="48" t="s">
        <v>240</v>
      </c>
      <c r="J7" s="48" t="s">
        <v>241</v>
      </c>
      <c r="K7" s="131"/>
      <c r="L7" s="131"/>
    </row>
    <row r="8" spans="1:16" ht="32.450000000000003" customHeight="1" x14ac:dyDescent="0.25">
      <c r="A8" s="135"/>
      <c r="B8" s="88" t="s">
        <v>23</v>
      </c>
      <c r="C8" s="136">
        <f t="shared" ref="C8:H8" si="0">C9+C109+C116+C123+C124</f>
        <v>358760943537</v>
      </c>
      <c r="D8" s="136">
        <f t="shared" si="0"/>
        <v>358760943537</v>
      </c>
      <c r="E8" s="136">
        <f t="shared" si="0"/>
        <v>368167347556</v>
      </c>
      <c r="F8" s="136">
        <f t="shared" si="0"/>
        <v>326544841</v>
      </c>
      <c r="G8" s="136">
        <f t="shared" si="0"/>
        <v>6531712015</v>
      </c>
      <c r="H8" s="136">
        <f t="shared" si="0"/>
        <v>361309090700</v>
      </c>
      <c r="I8" s="224">
        <f>E8/C8*100</f>
        <v>102.62191417110873</v>
      </c>
      <c r="J8" s="224">
        <f>E8/D8*100</f>
        <v>102.62191417110873</v>
      </c>
      <c r="K8" s="80">
        <v>368829807539</v>
      </c>
      <c r="L8" s="398">
        <f>E8-K8</f>
        <v>-662459983</v>
      </c>
    </row>
    <row r="9" spans="1:16" s="50" customFormat="1" ht="32.450000000000003" customHeight="1" x14ac:dyDescent="0.2">
      <c r="A9" s="88" t="s">
        <v>21</v>
      </c>
      <c r="B9" s="137" t="s">
        <v>24</v>
      </c>
      <c r="C9" s="136">
        <f>C10+C78+C89+C99+C100+C103</f>
        <v>1491000000</v>
      </c>
      <c r="D9" s="136">
        <f>D10+D78+D89+D99+D100+D103</f>
        <v>1491000000</v>
      </c>
      <c r="E9" s="136">
        <f>E10+E78+E89+E99+E100+E103</f>
        <v>9015048015</v>
      </c>
      <c r="F9" s="136">
        <f t="shared" ref="F9:H9" si="1">F10+F78+F89+F99+F100+F103</f>
        <v>326544841</v>
      </c>
      <c r="G9" s="136">
        <f t="shared" si="1"/>
        <v>5990123515</v>
      </c>
      <c r="H9" s="136">
        <f t="shared" si="1"/>
        <v>2698379659</v>
      </c>
      <c r="I9" s="224">
        <f>E9/C9*100</f>
        <v>604.63098692152914</v>
      </c>
      <c r="J9" s="224">
        <f>E9/D9*100</f>
        <v>604.63098692152914</v>
      </c>
      <c r="K9" s="80"/>
    </row>
    <row r="10" spans="1:16" ht="32.450000000000003" customHeight="1" x14ac:dyDescent="0.3">
      <c r="A10" s="88" t="s">
        <v>115</v>
      </c>
      <c r="B10" s="137" t="s">
        <v>228</v>
      </c>
      <c r="C10" s="136">
        <f>C11+C19+C25+C37+C45+C46+C47+C48+C49+C52+C56+C59+C60+C63+C66+C69+C70+C72+C75+C76+C77</f>
        <v>1491000000</v>
      </c>
      <c r="D10" s="136">
        <f>D11+D19+D25+D37+D45+D46+D47+D48+D49+D52+D56+D59+D60+D63+D66+D69+D70+D72+D75+D76+D77</f>
        <v>1491000000</v>
      </c>
      <c r="E10" s="136">
        <f>E11+E19+E25+E37+E45+E46+E47+E48+E49+E52+E56+E59+E60+E63+E66+E69+E70+E72+E75+E76+E77</f>
        <v>9015048015</v>
      </c>
      <c r="F10" s="136">
        <f>F11+F19+F25+F37+F45+F46+F47+F48+F49+F52+F56+F59+F60+F63+F66+F69+F70+F72+F75+F76+F77</f>
        <v>326544841</v>
      </c>
      <c r="G10" s="136">
        <f t="shared" ref="G10" si="2">G11+G19+G25+G37+G45+G46+G47+G48+G49+G52+G56+G59+G60+G63+G66+G69+G70+G72+G75+G76+G77</f>
        <v>5990123515</v>
      </c>
      <c r="H10" s="136">
        <f>H11+H19+H25+H37+H45+H46+H47+H48+H49+H52+H56+H59+H60+H63+H66+H69+H70+H72+H75+H76+H77</f>
        <v>2698379659</v>
      </c>
      <c r="I10" s="224">
        <f t="shared" ref="I10:I70" si="3">E10/C10*100</f>
        <v>604.63098692152914</v>
      </c>
      <c r="J10" s="224">
        <f>E10/D10*100</f>
        <v>604.63098692152914</v>
      </c>
      <c r="K10" s="80"/>
      <c r="M10" s="138"/>
      <c r="N10" s="139"/>
      <c r="O10" s="66"/>
    </row>
    <row r="11" spans="1:16" ht="29.45" customHeight="1" x14ac:dyDescent="0.3">
      <c r="A11" s="88">
        <v>1</v>
      </c>
      <c r="B11" s="137" t="s">
        <v>33</v>
      </c>
      <c r="C11" s="225"/>
      <c r="D11" s="225"/>
      <c r="E11" s="226">
        <f t="shared" ref="E11:E43" si="4">SUM(F11:H11)</f>
        <v>3139500</v>
      </c>
      <c r="F11" s="225">
        <f>F12+F14+F15+F17</f>
        <v>0</v>
      </c>
      <c r="G11" s="225">
        <f>G12+G14+G15+G17</f>
        <v>3139500</v>
      </c>
      <c r="H11" s="225">
        <f>H12+H14+H15+H17</f>
        <v>0</v>
      </c>
      <c r="I11" s="224"/>
      <c r="J11" s="227"/>
      <c r="K11" s="80"/>
      <c r="M11" s="138"/>
      <c r="N11" s="139"/>
      <c r="O11" s="66"/>
    </row>
    <row r="12" spans="1:16" ht="24" customHeight="1" x14ac:dyDescent="0.3">
      <c r="A12" s="135"/>
      <c r="B12" s="140" t="s">
        <v>26</v>
      </c>
      <c r="C12" s="228"/>
      <c r="D12" s="228"/>
      <c r="E12" s="225">
        <f t="shared" si="4"/>
        <v>0</v>
      </c>
      <c r="F12" s="228"/>
      <c r="G12" s="228"/>
      <c r="H12" s="228"/>
      <c r="I12" s="224"/>
      <c r="J12" s="229"/>
      <c r="K12" s="80"/>
      <c r="M12" s="138"/>
      <c r="N12" s="139"/>
      <c r="O12" s="66"/>
      <c r="P12" s="65"/>
    </row>
    <row r="13" spans="1:16" ht="24" customHeight="1" x14ac:dyDescent="0.3">
      <c r="A13" s="135"/>
      <c r="B13" s="141" t="s">
        <v>27</v>
      </c>
      <c r="C13" s="228"/>
      <c r="D13" s="228"/>
      <c r="E13" s="225">
        <f t="shared" si="4"/>
        <v>0</v>
      </c>
      <c r="F13" s="228"/>
      <c r="G13" s="228"/>
      <c r="H13" s="228"/>
      <c r="I13" s="224"/>
      <c r="J13" s="229"/>
      <c r="K13" s="80"/>
      <c r="M13" s="138"/>
      <c r="N13" s="139"/>
      <c r="O13" s="66"/>
    </row>
    <row r="14" spans="1:16" ht="27" customHeight="1" x14ac:dyDescent="0.25">
      <c r="A14" s="135"/>
      <c r="B14" s="140" t="s">
        <v>28</v>
      </c>
      <c r="C14" s="228"/>
      <c r="D14" s="228"/>
      <c r="E14" s="225">
        <f t="shared" si="4"/>
        <v>3139500</v>
      </c>
      <c r="F14" s="228"/>
      <c r="G14" s="228">
        <v>3139500</v>
      </c>
      <c r="H14" s="228"/>
      <c r="I14" s="224"/>
      <c r="J14" s="229"/>
      <c r="K14" s="80"/>
      <c r="M14" s="138"/>
      <c r="N14" s="142"/>
      <c r="O14" s="66"/>
    </row>
    <row r="15" spans="1:16" ht="27" customHeight="1" x14ac:dyDescent="0.25">
      <c r="A15" s="135"/>
      <c r="B15" s="140" t="s">
        <v>29</v>
      </c>
      <c r="C15" s="228"/>
      <c r="D15" s="228"/>
      <c r="E15" s="225">
        <f t="shared" si="4"/>
        <v>0</v>
      </c>
      <c r="F15" s="228"/>
      <c r="G15" s="228"/>
      <c r="H15" s="228"/>
      <c r="I15" s="224"/>
      <c r="J15" s="229"/>
      <c r="K15" s="80"/>
      <c r="M15" s="138"/>
      <c r="N15" s="142"/>
      <c r="O15" s="66"/>
    </row>
    <row r="16" spans="1:16" ht="37.5" customHeight="1" x14ac:dyDescent="0.25">
      <c r="A16" s="135"/>
      <c r="B16" s="141" t="s">
        <v>30</v>
      </c>
      <c r="C16" s="228"/>
      <c r="D16" s="228"/>
      <c r="E16" s="225">
        <f t="shared" si="4"/>
        <v>0</v>
      </c>
      <c r="F16" s="228"/>
      <c r="G16" s="228"/>
      <c r="H16" s="228"/>
      <c r="I16" s="224"/>
      <c r="J16" s="229"/>
      <c r="K16" s="80"/>
      <c r="M16" s="138"/>
      <c r="N16" s="142"/>
      <c r="O16" s="66"/>
    </row>
    <row r="17" spans="1:16" ht="26.25" customHeight="1" x14ac:dyDescent="0.25">
      <c r="A17" s="135"/>
      <c r="B17" s="140" t="s">
        <v>31</v>
      </c>
      <c r="C17" s="228"/>
      <c r="D17" s="228"/>
      <c r="E17" s="225">
        <f t="shared" si="4"/>
        <v>0</v>
      </c>
      <c r="F17" s="228"/>
      <c r="G17" s="228"/>
      <c r="H17" s="228"/>
      <c r="I17" s="224"/>
      <c r="J17" s="229"/>
      <c r="K17" s="80"/>
      <c r="M17" s="138"/>
      <c r="N17" s="143"/>
      <c r="O17" s="66"/>
    </row>
    <row r="18" spans="1:16" ht="24" customHeight="1" x14ac:dyDescent="0.25">
      <c r="A18" s="135"/>
      <c r="B18" s="141" t="s">
        <v>32</v>
      </c>
      <c r="C18" s="228"/>
      <c r="D18" s="228"/>
      <c r="E18" s="225">
        <f t="shared" si="4"/>
        <v>0</v>
      </c>
      <c r="F18" s="228"/>
      <c r="G18" s="228"/>
      <c r="H18" s="228"/>
      <c r="I18" s="224"/>
      <c r="J18" s="229"/>
      <c r="K18" s="80"/>
      <c r="N18" s="64"/>
      <c r="O18" s="66"/>
      <c r="P18" s="66"/>
    </row>
    <row r="19" spans="1:16" ht="31.7" customHeight="1" x14ac:dyDescent="0.25">
      <c r="A19" s="88">
        <v>2</v>
      </c>
      <c r="B19" s="137" t="s">
        <v>25</v>
      </c>
      <c r="C19" s="225"/>
      <c r="D19" s="225"/>
      <c r="E19" s="225">
        <f t="shared" si="4"/>
        <v>0</v>
      </c>
      <c r="F19" s="225">
        <f>F20+F21+F22+F24</f>
        <v>0</v>
      </c>
      <c r="G19" s="225">
        <f>G20+G21+G22+G24</f>
        <v>0</v>
      </c>
      <c r="H19" s="225">
        <f>H20+H21+H22+H24</f>
        <v>0</v>
      </c>
      <c r="I19" s="224"/>
      <c r="J19" s="229"/>
      <c r="K19" s="80"/>
      <c r="N19" s="65"/>
      <c r="P19" s="65"/>
    </row>
    <row r="20" spans="1:16" ht="24" customHeight="1" x14ac:dyDescent="0.25">
      <c r="A20" s="135"/>
      <c r="B20" s="140" t="s">
        <v>26</v>
      </c>
      <c r="C20" s="228"/>
      <c r="D20" s="228"/>
      <c r="E20" s="228">
        <f t="shared" si="4"/>
        <v>0</v>
      </c>
      <c r="F20" s="228"/>
      <c r="G20" s="228"/>
      <c r="H20" s="228"/>
      <c r="I20" s="224"/>
      <c r="J20" s="229"/>
      <c r="K20" s="80"/>
      <c r="O20" s="65"/>
      <c r="P20" s="65"/>
    </row>
    <row r="21" spans="1:16" ht="24" customHeight="1" x14ac:dyDescent="0.25">
      <c r="A21" s="135"/>
      <c r="B21" s="140" t="s">
        <v>28</v>
      </c>
      <c r="C21" s="228"/>
      <c r="D21" s="228"/>
      <c r="E21" s="228">
        <f t="shared" si="4"/>
        <v>0</v>
      </c>
      <c r="F21" s="228"/>
      <c r="G21" s="228"/>
      <c r="H21" s="228"/>
      <c r="I21" s="224"/>
      <c r="J21" s="229"/>
      <c r="K21" s="80"/>
      <c r="O21" s="65"/>
      <c r="P21" s="65"/>
    </row>
    <row r="22" spans="1:16" ht="24" customHeight="1" x14ac:dyDescent="0.25">
      <c r="A22" s="135"/>
      <c r="B22" s="140" t="s">
        <v>29</v>
      </c>
      <c r="C22" s="228"/>
      <c r="D22" s="228"/>
      <c r="E22" s="228">
        <f t="shared" si="4"/>
        <v>0</v>
      </c>
      <c r="F22" s="228"/>
      <c r="G22" s="228"/>
      <c r="H22" s="228"/>
      <c r="I22" s="224"/>
      <c r="J22" s="229"/>
      <c r="K22" s="80"/>
    </row>
    <row r="23" spans="1:16" ht="30" customHeight="1" x14ac:dyDescent="0.25">
      <c r="A23" s="135"/>
      <c r="B23" s="141" t="s">
        <v>30</v>
      </c>
      <c r="C23" s="228"/>
      <c r="D23" s="228"/>
      <c r="E23" s="228">
        <f t="shared" si="4"/>
        <v>0</v>
      </c>
      <c r="F23" s="228"/>
      <c r="G23" s="228"/>
      <c r="H23" s="228"/>
      <c r="I23" s="224"/>
      <c r="J23" s="229"/>
      <c r="K23" s="80"/>
      <c r="O23" s="65"/>
      <c r="P23" s="65"/>
    </row>
    <row r="24" spans="1:16" ht="24" customHeight="1" x14ac:dyDescent="0.25">
      <c r="A24" s="135"/>
      <c r="B24" s="140" t="s">
        <v>31</v>
      </c>
      <c r="C24" s="228"/>
      <c r="D24" s="228"/>
      <c r="E24" s="228">
        <f t="shared" si="4"/>
        <v>0</v>
      </c>
      <c r="F24" s="228"/>
      <c r="G24" s="228"/>
      <c r="H24" s="228"/>
      <c r="I24" s="224"/>
      <c r="J24" s="229"/>
      <c r="K24" s="80"/>
    </row>
    <row r="25" spans="1:16" ht="24" hidden="1" customHeight="1" x14ac:dyDescent="0.25">
      <c r="A25" s="88">
        <v>3</v>
      </c>
      <c r="B25" s="137" t="s">
        <v>34</v>
      </c>
      <c r="C25" s="225">
        <f>C26+C28+C30+C31+C33+C35</f>
        <v>0</v>
      </c>
      <c r="D25" s="225">
        <f t="shared" ref="D25:H25" si="5">D26+D28+D30+D31+D33+D35</f>
        <v>0</v>
      </c>
      <c r="E25" s="225">
        <f t="shared" si="4"/>
        <v>0</v>
      </c>
      <c r="F25" s="225">
        <f>F26+F28+F30+F31+F33+F35</f>
        <v>0</v>
      </c>
      <c r="G25" s="225">
        <f t="shared" si="5"/>
        <v>0</v>
      </c>
      <c r="H25" s="225">
        <f t="shared" si="5"/>
        <v>0</v>
      </c>
      <c r="I25" s="224" t="e">
        <f t="shared" si="3"/>
        <v>#DIV/0!</v>
      </c>
      <c r="J25" s="229" t="e">
        <f t="shared" ref="J25:J52" si="6">E25/D25*100</f>
        <v>#DIV/0!</v>
      </c>
      <c r="K25" s="80"/>
      <c r="P25" s="65"/>
    </row>
    <row r="26" spans="1:16" ht="24" hidden="1" customHeight="1" x14ac:dyDescent="0.25">
      <c r="A26" s="135"/>
      <c r="B26" s="140" t="s">
        <v>26</v>
      </c>
      <c r="C26" s="228"/>
      <c r="D26" s="228"/>
      <c r="E26" s="225">
        <f t="shared" si="4"/>
        <v>0</v>
      </c>
      <c r="F26" s="228"/>
      <c r="G26" s="228"/>
      <c r="H26" s="228"/>
      <c r="I26" s="224" t="e">
        <f t="shared" si="3"/>
        <v>#DIV/0!</v>
      </c>
      <c r="J26" s="229" t="e">
        <f t="shared" si="6"/>
        <v>#DIV/0!</v>
      </c>
      <c r="K26" s="80"/>
    </row>
    <row r="27" spans="1:16" ht="24" hidden="1" customHeight="1" x14ac:dyDescent="0.25">
      <c r="A27" s="135"/>
      <c r="B27" s="141" t="s">
        <v>35</v>
      </c>
      <c r="C27" s="228"/>
      <c r="D27" s="228"/>
      <c r="E27" s="225">
        <f t="shared" si="4"/>
        <v>0</v>
      </c>
      <c r="F27" s="228"/>
      <c r="G27" s="228"/>
      <c r="H27" s="228"/>
      <c r="I27" s="224" t="e">
        <f t="shared" si="3"/>
        <v>#DIV/0!</v>
      </c>
      <c r="J27" s="229" t="e">
        <f t="shared" si="6"/>
        <v>#DIV/0!</v>
      </c>
      <c r="K27" s="80"/>
    </row>
    <row r="28" spans="1:16" ht="24" hidden="1" customHeight="1" x14ac:dyDescent="0.25">
      <c r="A28" s="135"/>
      <c r="B28" s="140" t="s">
        <v>28</v>
      </c>
      <c r="C28" s="228"/>
      <c r="D28" s="228"/>
      <c r="E28" s="225">
        <f t="shared" si="4"/>
        <v>0</v>
      </c>
      <c r="F28" s="228"/>
      <c r="G28" s="228"/>
      <c r="H28" s="228"/>
      <c r="I28" s="224" t="e">
        <f t="shared" si="3"/>
        <v>#DIV/0!</v>
      </c>
      <c r="J28" s="229" t="e">
        <f t="shared" si="6"/>
        <v>#DIV/0!</v>
      </c>
      <c r="K28" s="80"/>
    </row>
    <row r="29" spans="1:16" ht="24" hidden="1" customHeight="1" x14ac:dyDescent="0.25">
      <c r="A29" s="135"/>
      <c r="B29" s="141" t="s">
        <v>36</v>
      </c>
      <c r="C29" s="228"/>
      <c r="D29" s="228"/>
      <c r="E29" s="225">
        <f t="shared" si="4"/>
        <v>0</v>
      </c>
      <c r="F29" s="228"/>
      <c r="G29" s="228"/>
      <c r="H29" s="228"/>
      <c r="I29" s="224" t="e">
        <f t="shared" si="3"/>
        <v>#DIV/0!</v>
      </c>
      <c r="J29" s="229" t="e">
        <f t="shared" si="6"/>
        <v>#DIV/0!</v>
      </c>
      <c r="K29" s="80"/>
    </row>
    <row r="30" spans="1:16" ht="24" hidden="1" customHeight="1" x14ac:dyDescent="0.25">
      <c r="A30" s="135"/>
      <c r="B30" s="140" t="s">
        <v>37</v>
      </c>
      <c r="C30" s="228"/>
      <c r="D30" s="228"/>
      <c r="E30" s="225">
        <f t="shared" si="4"/>
        <v>0</v>
      </c>
      <c r="F30" s="228"/>
      <c r="G30" s="228"/>
      <c r="H30" s="228"/>
      <c r="I30" s="224" t="e">
        <f t="shared" si="3"/>
        <v>#DIV/0!</v>
      </c>
      <c r="J30" s="229" t="e">
        <f t="shared" si="6"/>
        <v>#DIV/0!</v>
      </c>
      <c r="K30" s="80"/>
    </row>
    <row r="31" spans="1:16" ht="24" hidden="1" customHeight="1" x14ac:dyDescent="0.25">
      <c r="A31" s="135"/>
      <c r="B31" s="140" t="s">
        <v>29</v>
      </c>
      <c r="C31" s="228"/>
      <c r="D31" s="228"/>
      <c r="E31" s="225">
        <f t="shared" si="4"/>
        <v>0</v>
      </c>
      <c r="F31" s="228"/>
      <c r="G31" s="228"/>
      <c r="H31" s="228"/>
      <c r="I31" s="224" t="e">
        <f t="shared" si="3"/>
        <v>#DIV/0!</v>
      </c>
      <c r="J31" s="229" t="e">
        <f t="shared" si="6"/>
        <v>#DIV/0!</v>
      </c>
      <c r="K31" s="80"/>
    </row>
    <row r="32" spans="1:16" ht="30" hidden="1" customHeight="1" x14ac:dyDescent="0.25">
      <c r="A32" s="135"/>
      <c r="B32" s="141" t="s">
        <v>38</v>
      </c>
      <c r="C32" s="228"/>
      <c r="D32" s="228"/>
      <c r="E32" s="225">
        <f t="shared" si="4"/>
        <v>0</v>
      </c>
      <c r="F32" s="228"/>
      <c r="G32" s="228"/>
      <c r="H32" s="228"/>
      <c r="I32" s="224" t="e">
        <f t="shared" si="3"/>
        <v>#DIV/0!</v>
      </c>
      <c r="J32" s="229" t="e">
        <f t="shared" si="6"/>
        <v>#DIV/0!</v>
      </c>
      <c r="K32" s="80"/>
    </row>
    <row r="33" spans="1:11" ht="24" hidden="1" customHeight="1" x14ac:dyDescent="0.25">
      <c r="A33" s="135"/>
      <c r="B33" s="140" t="s">
        <v>31</v>
      </c>
      <c r="C33" s="228"/>
      <c r="D33" s="228"/>
      <c r="E33" s="225">
        <f t="shared" si="4"/>
        <v>0</v>
      </c>
      <c r="F33" s="228"/>
      <c r="G33" s="228"/>
      <c r="H33" s="228"/>
      <c r="I33" s="224" t="e">
        <f t="shared" si="3"/>
        <v>#DIV/0!</v>
      </c>
      <c r="J33" s="229" t="e">
        <f t="shared" si="6"/>
        <v>#DIV/0!</v>
      </c>
      <c r="K33" s="80"/>
    </row>
    <row r="34" spans="1:11" ht="24" hidden="1" customHeight="1" x14ac:dyDescent="0.25">
      <c r="A34" s="135"/>
      <c r="B34" s="141" t="s">
        <v>32</v>
      </c>
      <c r="C34" s="228"/>
      <c r="D34" s="228"/>
      <c r="E34" s="225">
        <f t="shared" si="4"/>
        <v>0</v>
      </c>
      <c r="F34" s="228"/>
      <c r="G34" s="228"/>
      <c r="H34" s="228"/>
      <c r="I34" s="224" t="e">
        <f t="shared" si="3"/>
        <v>#DIV/0!</v>
      </c>
      <c r="J34" s="229" t="e">
        <f t="shared" si="6"/>
        <v>#DIV/0!</v>
      </c>
      <c r="K34" s="80"/>
    </row>
    <row r="35" spans="1:11" ht="24" hidden="1" customHeight="1" x14ac:dyDescent="0.25">
      <c r="A35" s="135"/>
      <c r="B35" s="140" t="s">
        <v>39</v>
      </c>
      <c r="C35" s="228"/>
      <c r="D35" s="228"/>
      <c r="E35" s="225">
        <f t="shared" si="4"/>
        <v>0</v>
      </c>
      <c r="F35" s="228"/>
      <c r="G35" s="228"/>
      <c r="H35" s="228"/>
      <c r="I35" s="224" t="e">
        <f t="shared" si="3"/>
        <v>#DIV/0!</v>
      </c>
      <c r="J35" s="229" t="e">
        <f t="shared" si="6"/>
        <v>#DIV/0!</v>
      </c>
      <c r="K35" s="80"/>
    </row>
    <row r="36" spans="1:11" ht="24" hidden="1" customHeight="1" x14ac:dyDescent="0.25">
      <c r="A36" s="135"/>
      <c r="B36" s="141" t="s">
        <v>35</v>
      </c>
      <c r="C36" s="228"/>
      <c r="D36" s="228"/>
      <c r="E36" s="225">
        <f t="shared" si="4"/>
        <v>0</v>
      </c>
      <c r="F36" s="228"/>
      <c r="G36" s="228"/>
      <c r="H36" s="228"/>
      <c r="I36" s="224" t="e">
        <f t="shared" si="3"/>
        <v>#DIV/0!</v>
      </c>
      <c r="J36" s="229" t="e">
        <f t="shared" si="6"/>
        <v>#DIV/0!</v>
      </c>
      <c r="K36" s="80"/>
    </row>
    <row r="37" spans="1:11" ht="28.7" customHeight="1" x14ac:dyDescent="0.25">
      <c r="A37" s="88">
        <v>4</v>
      </c>
      <c r="B37" s="137" t="s">
        <v>40</v>
      </c>
      <c r="C37" s="225">
        <v>870000000</v>
      </c>
      <c r="D37" s="225">
        <v>870000000</v>
      </c>
      <c r="E37" s="226">
        <f t="shared" si="4"/>
        <v>3236332006</v>
      </c>
      <c r="F37" s="225">
        <f>F38+F39+F40+F42+F43+F44</f>
        <v>0</v>
      </c>
      <c r="G37" s="225">
        <f>G38+G39+G40+G42+G43+G44</f>
        <v>2240019626</v>
      </c>
      <c r="H37" s="225">
        <f>H38+H39+H40+H42+H43+H44</f>
        <v>996312380</v>
      </c>
      <c r="I37" s="224">
        <f t="shared" si="3"/>
        <v>371.99218459770111</v>
      </c>
      <c r="J37" s="229">
        <f t="shared" si="6"/>
        <v>371.99218459770111</v>
      </c>
      <c r="K37" s="80"/>
    </row>
    <row r="38" spans="1:11" ht="28.7" customHeight="1" x14ac:dyDescent="0.25">
      <c r="A38" s="135"/>
      <c r="B38" s="140" t="s">
        <v>26</v>
      </c>
      <c r="C38" s="228"/>
      <c r="D38" s="228"/>
      <c r="E38" s="228">
        <f t="shared" si="4"/>
        <v>2506638076</v>
      </c>
      <c r="F38" s="228"/>
      <c r="G38" s="228">
        <v>1584209777</v>
      </c>
      <c r="H38" s="228">
        <v>922428299</v>
      </c>
      <c r="I38" s="224"/>
      <c r="J38" s="229"/>
      <c r="K38" s="80"/>
    </row>
    <row r="39" spans="1:11" ht="28.7" customHeight="1" x14ac:dyDescent="0.25">
      <c r="A39" s="135"/>
      <c r="B39" s="140" t="s">
        <v>28</v>
      </c>
      <c r="C39" s="228"/>
      <c r="D39" s="228"/>
      <c r="E39" s="228">
        <f t="shared" si="4"/>
        <v>7638897</v>
      </c>
      <c r="F39" s="228"/>
      <c r="G39" s="228">
        <v>7638897</v>
      </c>
      <c r="H39" s="228"/>
      <c r="I39" s="224"/>
      <c r="J39" s="229"/>
      <c r="K39" s="80"/>
    </row>
    <row r="40" spans="1:11" ht="28.7" customHeight="1" x14ac:dyDescent="0.25">
      <c r="A40" s="135"/>
      <c r="B40" s="140" t="s">
        <v>29</v>
      </c>
      <c r="C40" s="228"/>
      <c r="D40" s="228"/>
      <c r="E40" s="228">
        <f t="shared" si="4"/>
        <v>0</v>
      </c>
      <c r="F40" s="228"/>
      <c r="G40" s="228"/>
      <c r="H40" s="228"/>
      <c r="I40" s="224"/>
      <c r="J40" s="229"/>
      <c r="K40" s="80"/>
    </row>
    <row r="41" spans="1:11" ht="28.7" customHeight="1" x14ac:dyDescent="0.25">
      <c r="A41" s="135"/>
      <c r="B41" s="141" t="s">
        <v>41</v>
      </c>
      <c r="C41" s="228"/>
      <c r="D41" s="228"/>
      <c r="E41" s="228">
        <f t="shared" si="4"/>
        <v>0</v>
      </c>
      <c r="F41" s="228"/>
      <c r="G41" s="228"/>
      <c r="H41" s="228"/>
      <c r="I41" s="224"/>
      <c r="J41" s="229"/>
      <c r="K41" s="80"/>
    </row>
    <row r="42" spans="1:11" ht="28.7" customHeight="1" x14ac:dyDescent="0.25">
      <c r="A42" s="135"/>
      <c r="B42" s="140" t="s">
        <v>31</v>
      </c>
      <c r="C42" s="228"/>
      <c r="D42" s="228"/>
      <c r="E42" s="228">
        <f t="shared" si="4"/>
        <v>722055033</v>
      </c>
      <c r="F42" s="228"/>
      <c r="G42" s="228">
        <v>648170952</v>
      </c>
      <c r="H42" s="228">
        <v>73884081</v>
      </c>
      <c r="I42" s="224"/>
      <c r="J42" s="229"/>
      <c r="K42" s="80"/>
    </row>
    <row r="43" spans="1:11" ht="28.7" customHeight="1" x14ac:dyDescent="0.25">
      <c r="A43" s="135"/>
      <c r="B43" s="144" t="s">
        <v>229</v>
      </c>
      <c r="C43" s="228"/>
      <c r="D43" s="228"/>
      <c r="E43" s="228">
        <f t="shared" si="4"/>
        <v>0</v>
      </c>
      <c r="F43" s="228"/>
      <c r="G43" s="228"/>
      <c r="H43" s="228"/>
      <c r="I43" s="224"/>
      <c r="J43" s="229"/>
      <c r="K43" s="80"/>
    </row>
    <row r="44" spans="1:11" ht="28.7" customHeight="1" x14ac:dyDescent="0.25">
      <c r="A44" s="135"/>
      <c r="B44" s="144" t="s">
        <v>230</v>
      </c>
      <c r="C44" s="228"/>
      <c r="D44" s="228"/>
      <c r="E44" s="228"/>
      <c r="F44" s="228"/>
      <c r="G44" s="228"/>
      <c r="H44" s="228"/>
      <c r="I44" s="224"/>
      <c r="J44" s="229"/>
      <c r="K44" s="80"/>
    </row>
    <row r="45" spans="1:11" s="50" customFormat="1" ht="28.7" customHeight="1" x14ac:dyDescent="0.2">
      <c r="A45" s="88">
        <v>5</v>
      </c>
      <c r="B45" s="137" t="s">
        <v>42</v>
      </c>
      <c r="C45" s="225"/>
      <c r="D45" s="225"/>
      <c r="E45" s="226">
        <f t="shared" ref="E45:E108" si="7">SUM(F45:H45)</f>
        <v>3180375223</v>
      </c>
      <c r="F45" s="225"/>
      <c r="G45" s="225">
        <v>3009481466</v>
      </c>
      <c r="H45" s="225">
        <v>170893757</v>
      </c>
      <c r="I45" s="224"/>
      <c r="J45" s="229"/>
      <c r="K45" s="80"/>
    </row>
    <row r="46" spans="1:11" s="50" customFormat="1" ht="28.7" customHeight="1" x14ac:dyDescent="0.2">
      <c r="A46" s="88">
        <v>6</v>
      </c>
      <c r="B46" s="137" t="s">
        <v>43</v>
      </c>
      <c r="C46" s="225"/>
      <c r="D46" s="225"/>
      <c r="E46" s="226">
        <f t="shared" si="7"/>
        <v>0</v>
      </c>
      <c r="F46" s="225"/>
      <c r="G46" s="225"/>
      <c r="H46" s="225"/>
      <c r="I46" s="224"/>
      <c r="J46" s="229"/>
      <c r="K46" s="80"/>
    </row>
    <row r="47" spans="1:11" s="50" customFormat="1" ht="28.7" customHeight="1" x14ac:dyDescent="0.2">
      <c r="A47" s="88">
        <v>7</v>
      </c>
      <c r="B47" s="137" t="s">
        <v>44</v>
      </c>
      <c r="C47" s="225"/>
      <c r="D47" s="225"/>
      <c r="E47" s="226">
        <f t="shared" si="7"/>
        <v>1997734</v>
      </c>
      <c r="F47" s="225"/>
      <c r="G47" s="225">
        <v>372913</v>
      </c>
      <c r="H47" s="225">
        <v>1624821</v>
      </c>
      <c r="I47" s="224"/>
      <c r="J47" s="229"/>
      <c r="K47" s="80"/>
    </row>
    <row r="48" spans="1:11" s="50" customFormat="1" ht="28.7" customHeight="1" x14ac:dyDescent="0.2">
      <c r="A48" s="88">
        <v>8</v>
      </c>
      <c r="B48" s="137" t="s">
        <v>45</v>
      </c>
      <c r="C48" s="225">
        <v>433000000</v>
      </c>
      <c r="D48" s="225">
        <v>433000000</v>
      </c>
      <c r="E48" s="226">
        <f t="shared" si="7"/>
        <v>1442833522</v>
      </c>
      <c r="F48" s="225"/>
      <c r="G48" s="225">
        <v>302785180</v>
      </c>
      <c r="H48" s="225">
        <v>1140048342</v>
      </c>
      <c r="I48" s="224">
        <f t="shared" si="3"/>
        <v>333.21790346420323</v>
      </c>
      <c r="J48" s="229">
        <f t="shared" si="6"/>
        <v>333.21790346420323</v>
      </c>
      <c r="K48" s="80"/>
    </row>
    <row r="49" spans="1:11" s="50" customFormat="1" ht="24" customHeight="1" x14ac:dyDescent="0.2">
      <c r="A49" s="88">
        <v>9</v>
      </c>
      <c r="B49" s="137" t="s">
        <v>46</v>
      </c>
      <c r="C49" s="225">
        <f>SUM(C50:C51)</f>
        <v>0</v>
      </c>
      <c r="D49" s="225">
        <f t="shared" ref="D49:H49" si="8">SUM(D50:D51)</f>
        <v>0</v>
      </c>
      <c r="E49" s="225">
        <f t="shared" si="7"/>
        <v>0</v>
      </c>
      <c r="F49" s="225">
        <f t="shared" si="8"/>
        <v>0</v>
      </c>
      <c r="G49" s="225">
        <f t="shared" si="8"/>
        <v>0</v>
      </c>
      <c r="H49" s="225">
        <f t="shared" si="8"/>
        <v>0</v>
      </c>
      <c r="I49" s="224"/>
      <c r="J49" s="229"/>
      <c r="K49" s="80"/>
    </row>
    <row r="50" spans="1:11" ht="24" customHeight="1" x14ac:dyDescent="0.25">
      <c r="A50" s="135"/>
      <c r="B50" s="141" t="s">
        <v>47</v>
      </c>
      <c r="C50" s="228"/>
      <c r="D50" s="228"/>
      <c r="E50" s="225">
        <f t="shared" si="7"/>
        <v>0</v>
      </c>
      <c r="F50" s="228"/>
      <c r="G50" s="228"/>
      <c r="H50" s="228"/>
      <c r="I50" s="224"/>
      <c r="J50" s="229"/>
      <c r="K50" s="80"/>
    </row>
    <row r="51" spans="1:11" ht="24" customHeight="1" x14ac:dyDescent="0.25">
      <c r="A51" s="135"/>
      <c r="B51" s="141" t="s">
        <v>48</v>
      </c>
      <c r="C51" s="228"/>
      <c r="D51" s="228"/>
      <c r="E51" s="225">
        <f t="shared" si="7"/>
        <v>0</v>
      </c>
      <c r="F51" s="228"/>
      <c r="G51" s="228"/>
      <c r="H51" s="228"/>
      <c r="I51" s="224"/>
      <c r="J51" s="229"/>
      <c r="K51" s="80"/>
    </row>
    <row r="52" spans="1:11" ht="24" customHeight="1" x14ac:dyDescent="0.25">
      <c r="A52" s="88">
        <v>10</v>
      </c>
      <c r="B52" s="137" t="s">
        <v>49</v>
      </c>
      <c r="C52" s="225">
        <v>144000000</v>
      </c>
      <c r="D52" s="225">
        <v>144000000</v>
      </c>
      <c r="E52" s="226">
        <f t="shared" si="7"/>
        <v>562020900</v>
      </c>
      <c r="F52" s="225">
        <f t="shared" ref="F52:G52" si="9">SUM(F53:F54)</f>
        <v>267542000</v>
      </c>
      <c r="G52" s="225">
        <f t="shared" si="9"/>
        <v>31995250</v>
      </c>
      <c r="H52" s="225">
        <f>SUM(H53:H54)</f>
        <v>262483650</v>
      </c>
      <c r="I52" s="224">
        <f t="shared" si="3"/>
        <v>390.2922916666667</v>
      </c>
      <c r="J52" s="229">
        <f t="shared" si="6"/>
        <v>390.2922916666667</v>
      </c>
      <c r="K52" s="80"/>
    </row>
    <row r="53" spans="1:11" ht="25.5" customHeight="1" x14ac:dyDescent="0.25">
      <c r="A53" s="135"/>
      <c r="B53" s="141" t="s">
        <v>271</v>
      </c>
      <c r="C53" s="228"/>
      <c r="D53" s="228"/>
      <c r="E53" s="226">
        <f t="shared" si="7"/>
        <v>267542000</v>
      </c>
      <c r="F53" s="228">
        <v>267542000</v>
      </c>
      <c r="G53" s="228"/>
      <c r="H53" s="228"/>
      <c r="I53" s="224"/>
      <c r="J53" s="229"/>
      <c r="K53" s="80"/>
    </row>
    <row r="54" spans="1:11" ht="25.5" customHeight="1" x14ac:dyDescent="0.25">
      <c r="A54" s="135"/>
      <c r="B54" s="141" t="s">
        <v>272</v>
      </c>
      <c r="C54" s="228"/>
      <c r="D54" s="228"/>
      <c r="E54" s="226">
        <f t="shared" si="7"/>
        <v>294478900</v>
      </c>
      <c r="F54" s="228"/>
      <c r="G54" s="228">
        <f>849450+31145800</f>
        <v>31995250</v>
      </c>
      <c r="H54" s="228">
        <f>94050+262389600</f>
        <v>262483650</v>
      </c>
      <c r="I54" s="224"/>
      <c r="J54" s="229"/>
      <c r="K54" s="80"/>
    </row>
    <row r="55" spans="1:11" ht="25.5" customHeight="1" x14ac:dyDescent="0.25">
      <c r="A55" s="135"/>
      <c r="B55" s="141" t="s">
        <v>273</v>
      </c>
      <c r="C55" s="228"/>
      <c r="D55" s="228"/>
      <c r="E55" s="226">
        <f t="shared" si="7"/>
        <v>29057500</v>
      </c>
      <c r="F55" s="228"/>
      <c r="G55" s="228">
        <v>20340250</v>
      </c>
      <c r="H55" s="228">
        <v>8717250</v>
      </c>
      <c r="I55" s="224"/>
      <c r="J55" s="229"/>
      <c r="K55" s="80"/>
    </row>
    <row r="56" spans="1:11" ht="25.5" customHeight="1" x14ac:dyDescent="0.25">
      <c r="A56" s="88">
        <v>11</v>
      </c>
      <c r="B56" s="137" t="s">
        <v>50</v>
      </c>
      <c r="C56" s="225"/>
      <c r="D56" s="225"/>
      <c r="E56" s="226">
        <f t="shared" si="7"/>
        <v>309168000</v>
      </c>
      <c r="F56" s="225">
        <f>SUM(F57:F58)</f>
        <v>0</v>
      </c>
      <c r="G56" s="225">
        <f t="shared" ref="G56:H56" si="10">SUM(G57:G58)</f>
        <v>309168000</v>
      </c>
      <c r="H56" s="225">
        <f t="shared" si="10"/>
        <v>0</v>
      </c>
      <c r="I56" s="224"/>
      <c r="J56" s="229"/>
      <c r="K56" s="80"/>
    </row>
    <row r="57" spans="1:11" ht="24" customHeight="1" x14ac:dyDescent="0.25">
      <c r="A57" s="135"/>
      <c r="B57" s="141" t="s">
        <v>51</v>
      </c>
      <c r="C57" s="228"/>
      <c r="D57" s="228"/>
      <c r="E57" s="225">
        <f t="shared" si="7"/>
        <v>0</v>
      </c>
      <c r="F57" s="228"/>
      <c r="G57" s="228"/>
      <c r="H57" s="228"/>
      <c r="I57" s="224"/>
      <c r="J57" s="227"/>
      <c r="K57" s="80"/>
    </row>
    <row r="58" spans="1:11" ht="30.75" customHeight="1" x14ac:dyDescent="0.25">
      <c r="A58" s="135"/>
      <c r="B58" s="141" t="s">
        <v>52</v>
      </c>
      <c r="C58" s="228"/>
      <c r="D58" s="228"/>
      <c r="E58" s="225">
        <f t="shared" si="7"/>
        <v>309168000</v>
      </c>
      <c r="F58" s="228"/>
      <c r="G58" s="228">
        <v>309168000</v>
      </c>
      <c r="H58" s="228"/>
      <c r="I58" s="224"/>
      <c r="J58" s="230"/>
      <c r="K58" s="80"/>
    </row>
    <row r="59" spans="1:11" ht="24" customHeight="1" x14ac:dyDescent="0.25">
      <c r="A59" s="88" t="s">
        <v>274</v>
      </c>
      <c r="B59" s="137" t="s">
        <v>53</v>
      </c>
      <c r="C59" s="225"/>
      <c r="D59" s="225"/>
      <c r="E59" s="226">
        <f t="shared" si="7"/>
        <v>93161580</v>
      </c>
      <c r="F59" s="225"/>
      <c r="G59" s="225">
        <v>93161580</v>
      </c>
      <c r="H59" s="225"/>
      <c r="I59" s="224"/>
      <c r="J59" s="227"/>
      <c r="K59" s="80"/>
    </row>
    <row r="60" spans="1:11" s="50" customFormat="1" ht="24" customHeight="1" x14ac:dyDescent="0.2">
      <c r="A60" s="88">
        <v>13</v>
      </c>
      <c r="B60" s="137" t="s">
        <v>54</v>
      </c>
      <c r="C60" s="225">
        <f>SUM(C61:C62)</f>
        <v>0</v>
      </c>
      <c r="D60" s="225">
        <f t="shared" ref="D60:H60" si="11">SUM(D61:D62)</f>
        <v>0</v>
      </c>
      <c r="E60" s="225">
        <f t="shared" si="7"/>
        <v>0</v>
      </c>
      <c r="F60" s="225">
        <f t="shared" si="11"/>
        <v>0</v>
      </c>
      <c r="G60" s="225">
        <f t="shared" si="11"/>
        <v>0</v>
      </c>
      <c r="H60" s="225">
        <f t="shared" si="11"/>
        <v>0</v>
      </c>
      <c r="I60" s="224"/>
      <c r="J60" s="227"/>
      <c r="K60" s="80"/>
    </row>
    <row r="61" spans="1:11" ht="24" hidden="1" customHeight="1" x14ac:dyDescent="0.25">
      <c r="A61" s="140"/>
      <c r="B61" s="141" t="s">
        <v>55</v>
      </c>
      <c r="C61" s="228"/>
      <c r="D61" s="228"/>
      <c r="E61" s="225">
        <f t="shared" si="7"/>
        <v>0</v>
      </c>
      <c r="F61" s="228"/>
      <c r="G61" s="228"/>
      <c r="H61" s="228"/>
      <c r="I61" s="224"/>
      <c r="J61" s="227"/>
      <c r="K61" s="80"/>
    </row>
    <row r="62" spans="1:11" ht="24" hidden="1" customHeight="1" x14ac:dyDescent="0.25">
      <c r="A62" s="140"/>
      <c r="B62" s="141" t="s">
        <v>56</v>
      </c>
      <c r="C62" s="228"/>
      <c r="D62" s="228"/>
      <c r="E62" s="225">
        <f t="shared" si="7"/>
        <v>0</v>
      </c>
      <c r="F62" s="228"/>
      <c r="G62" s="228"/>
      <c r="H62" s="228"/>
      <c r="I62" s="224"/>
      <c r="J62" s="227"/>
      <c r="K62" s="80"/>
    </row>
    <row r="63" spans="1:11" ht="24" hidden="1" customHeight="1" x14ac:dyDescent="0.25">
      <c r="A63" s="88">
        <v>14</v>
      </c>
      <c r="B63" s="137" t="s">
        <v>57</v>
      </c>
      <c r="C63" s="225">
        <f>SUM(C64:C65)</f>
        <v>0</v>
      </c>
      <c r="D63" s="225">
        <f t="shared" ref="D63:H63" si="12">SUM(D64:D65)</f>
        <v>0</v>
      </c>
      <c r="E63" s="225">
        <f t="shared" si="7"/>
        <v>0</v>
      </c>
      <c r="F63" s="225">
        <f t="shared" si="12"/>
        <v>0</v>
      </c>
      <c r="G63" s="225">
        <f t="shared" si="12"/>
        <v>0</v>
      </c>
      <c r="H63" s="225">
        <f t="shared" si="12"/>
        <v>0</v>
      </c>
      <c r="I63" s="224"/>
      <c r="J63" s="227"/>
      <c r="K63" s="80"/>
    </row>
    <row r="64" spans="1:11" ht="24" customHeight="1" x14ac:dyDescent="0.25">
      <c r="A64" s="135"/>
      <c r="B64" s="141" t="s">
        <v>58</v>
      </c>
      <c r="C64" s="228"/>
      <c r="D64" s="228"/>
      <c r="E64" s="225">
        <f t="shared" si="7"/>
        <v>0</v>
      </c>
      <c r="F64" s="228"/>
      <c r="G64" s="228"/>
      <c r="H64" s="228"/>
      <c r="I64" s="224"/>
      <c r="J64" s="227"/>
      <c r="K64" s="80"/>
    </row>
    <row r="65" spans="1:13" ht="24" customHeight="1" x14ac:dyDescent="0.25">
      <c r="A65" s="140"/>
      <c r="B65" s="141" t="s">
        <v>59</v>
      </c>
      <c r="C65" s="228"/>
      <c r="D65" s="228"/>
      <c r="E65" s="225">
        <f t="shared" si="7"/>
        <v>0</v>
      </c>
      <c r="F65" s="228"/>
      <c r="G65" s="228"/>
      <c r="H65" s="228"/>
      <c r="I65" s="224"/>
      <c r="J65" s="227"/>
      <c r="K65" s="80"/>
      <c r="M65" s="51"/>
    </row>
    <row r="66" spans="1:13" ht="24" customHeight="1" x14ac:dyDescent="0.25">
      <c r="A66" s="88">
        <v>15</v>
      </c>
      <c r="B66" s="137" t="s">
        <v>60</v>
      </c>
      <c r="C66" s="225">
        <f>SUM(C67:C68)</f>
        <v>0</v>
      </c>
      <c r="D66" s="225">
        <f t="shared" ref="D66:H66" si="13">SUM(D67:D68)</f>
        <v>0</v>
      </c>
      <c r="E66" s="225">
        <f t="shared" si="7"/>
        <v>0</v>
      </c>
      <c r="F66" s="225">
        <f t="shared" si="13"/>
        <v>0</v>
      </c>
      <c r="G66" s="225">
        <f t="shared" si="13"/>
        <v>0</v>
      </c>
      <c r="H66" s="225">
        <f t="shared" si="13"/>
        <v>0</v>
      </c>
      <c r="I66" s="224"/>
      <c r="J66" s="227"/>
      <c r="K66" s="80"/>
      <c r="M66" s="52"/>
    </row>
    <row r="67" spans="1:13" ht="24" customHeight="1" x14ac:dyDescent="0.25">
      <c r="A67" s="140"/>
      <c r="B67" s="141" t="s">
        <v>61</v>
      </c>
      <c r="C67" s="228"/>
      <c r="D67" s="228"/>
      <c r="E67" s="225">
        <f t="shared" si="7"/>
        <v>0</v>
      </c>
      <c r="F67" s="228"/>
      <c r="G67" s="228"/>
      <c r="H67" s="228"/>
      <c r="I67" s="224"/>
      <c r="J67" s="227"/>
      <c r="K67" s="80"/>
      <c r="M67" s="52"/>
    </row>
    <row r="68" spans="1:13" ht="24" customHeight="1" x14ac:dyDescent="0.25">
      <c r="A68" s="140"/>
      <c r="B68" s="141" t="s">
        <v>62</v>
      </c>
      <c r="C68" s="228"/>
      <c r="D68" s="228"/>
      <c r="E68" s="225">
        <f t="shared" si="7"/>
        <v>0</v>
      </c>
      <c r="F68" s="228"/>
      <c r="G68" s="228"/>
      <c r="H68" s="228"/>
      <c r="I68" s="224"/>
      <c r="J68" s="227"/>
      <c r="K68" s="80"/>
      <c r="M68" s="52"/>
    </row>
    <row r="69" spans="1:13" ht="24" customHeight="1" x14ac:dyDescent="0.25">
      <c r="A69" s="88">
        <v>16</v>
      </c>
      <c r="B69" s="137" t="s">
        <v>63</v>
      </c>
      <c r="C69" s="228"/>
      <c r="D69" s="228"/>
      <c r="E69" s="225">
        <f t="shared" si="7"/>
        <v>0</v>
      </c>
      <c r="F69" s="228"/>
      <c r="G69" s="228"/>
      <c r="H69" s="228"/>
      <c r="I69" s="224"/>
      <c r="J69" s="227"/>
      <c r="K69" s="80"/>
      <c r="M69" s="52"/>
    </row>
    <row r="70" spans="1:13" ht="24" customHeight="1" x14ac:dyDescent="0.25">
      <c r="A70" s="88">
        <v>17</v>
      </c>
      <c r="B70" s="137" t="s">
        <v>64</v>
      </c>
      <c r="C70" s="225">
        <v>31000000</v>
      </c>
      <c r="D70" s="225">
        <v>31000000</v>
      </c>
      <c r="E70" s="226">
        <f t="shared" si="7"/>
        <v>186019550</v>
      </c>
      <c r="F70" s="225">
        <v>59002841</v>
      </c>
      <c r="G70" s="225"/>
      <c r="H70" s="225">
        <v>127016709</v>
      </c>
      <c r="I70" s="224">
        <f t="shared" si="3"/>
        <v>600.06306451612909</v>
      </c>
      <c r="J70" s="227">
        <f>E70/D70*100</f>
        <v>600.06306451612909</v>
      </c>
      <c r="K70" s="80"/>
      <c r="M70" s="52"/>
    </row>
    <row r="71" spans="1:13" s="50" customFormat="1" ht="24" customHeight="1" x14ac:dyDescent="0.2">
      <c r="A71" s="140"/>
      <c r="B71" s="141" t="s">
        <v>65</v>
      </c>
      <c r="C71" s="228"/>
      <c r="D71" s="228"/>
      <c r="E71" s="225">
        <f t="shared" si="7"/>
        <v>59002841</v>
      </c>
      <c r="F71" s="228">
        <f>F70</f>
        <v>59002841</v>
      </c>
      <c r="G71" s="228"/>
      <c r="H71" s="228"/>
      <c r="I71" s="224"/>
      <c r="J71" s="227"/>
      <c r="K71" s="80"/>
      <c r="M71" s="53"/>
    </row>
    <row r="72" spans="1:13" ht="24" customHeight="1" x14ac:dyDescent="0.25">
      <c r="A72" s="88">
        <v>18</v>
      </c>
      <c r="B72" s="137" t="s">
        <v>66</v>
      </c>
      <c r="C72" s="225"/>
      <c r="D72" s="225"/>
      <c r="E72" s="226">
        <f t="shared" si="7"/>
        <v>0</v>
      </c>
      <c r="F72" s="225">
        <f>SUM(F73:F74)</f>
        <v>0</v>
      </c>
      <c r="G72" s="225">
        <f t="shared" ref="G72:H72" si="14">SUM(G73:G74)</f>
        <v>0</v>
      </c>
      <c r="H72" s="225">
        <f t="shared" si="14"/>
        <v>0</v>
      </c>
      <c r="I72" s="224"/>
      <c r="J72" s="227"/>
      <c r="K72" s="80"/>
      <c r="M72" s="52"/>
    </row>
    <row r="73" spans="1:13" ht="24" customHeight="1" x14ac:dyDescent="0.25">
      <c r="A73" s="140"/>
      <c r="B73" s="141" t="s">
        <v>67</v>
      </c>
      <c r="C73" s="228"/>
      <c r="D73" s="228"/>
      <c r="E73" s="225">
        <f t="shared" si="7"/>
        <v>0</v>
      </c>
      <c r="F73" s="228"/>
      <c r="G73" s="228"/>
      <c r="H73" s="228"/>
      <c r="I73" s="224"/>
      <c r="J73" s="227"/>
      <c r="K73" s="80"/>
      <c r="M73" s="52"/>
    </row>
    <row r="74" spans="1:13" ht="24" customHeight="1" x14ac:dyDescent="0.25">
      <c r="A74" s="135"/>
      <c r="B74" s="141" t="s">
        <v>68</v>
      </c>
      <c r="C74" s="228"/>
      <c r="D74" s="228"/>
      <c r="E74" s="225">
        <f t="shared" si="7"/>
        <v>0</v>
      </c>
      <c r="F74" s="228"/>
      <c r="G74" s="228"/>
      <c r="H74" s="228"/>
      <c r="I74" s="224"/>
      <c r="J74" s="229"/>
      <c r="K74" s="80"/>
      <c r="M74" s="52"/>
    </row>
    <row r="75" spans="1:13" ht="24" customHeight="1" x14ac:dyDescent="0.25">
      <c r="A75" s="88">
        <v>19</v>
      </c>
      <c r="B75" s="137" t="s">
        <v>69</v>
      </c>
      <c r="C75" s="231">
        <v>13000000</v>
      </c>
      <c r="D75" s="231">
        <v>13000000</v>
      </c>
      <c r="E75" s="226">
        <f t="shared" si="7"/>
        <v>0</v>
      </c>
      <c r="F75" s="228"/>
      <c r="G75" s="228"/>
      <c r="H75" s="228"/>
      <c r="I75" s="224">
        <f t="shared" ref="I75:I120" si="15">E75/C75*100</f>
        <v>0</v>
      </c>
      <c r="J75" s="227"/>
      <c r="K75" s="80"/>
      <c r="M75" s="52"/>
    </row>
    <row r="76" spans="1:13" s="50" customFormat="1" ht="24" customHeight="1" x14ac:dyDescent="0.2">
      <c r="A76" s="88">
        <v>20</v>
      </c>
      <c r="B76" s="137" t="s">
        <v>70</v>
      </c>
      <c r="C76" s="228"/>
      <c r="D76" s="228"/>
      <c r="E76" s="225">
        <f t="shared" si="7"/>
        <v>0</v>
      </c>
      <c r="F76" s="228"/>
      <c r="G76" s="228"/>
      <c r="H76" s="228"/>
      <c r="I76" s="224"/>
      <c r="J76" s="227"/>
      <c r="K76" s="80"/>
      <c r="M76" s="53"/>
    </row>
    <row r="77" spans="1:13" ht="24" customHeight="1" x14ac:dyDescent="0.25">
      <c r="A77" s="88">
        <v>21</v>
      </c>
      <c r="B77" s="137" t="s">
        <v>231</v>
      </c>
      <c r="C77" s="228"/>
      <c r="D77" s="228"/>
      <c r="E77" s="225">
        <f t="shared" si="7"/>
        <v>0</v>
      </c>
      <c r="F77" s="228"/>
      <c r="G77" s="228"/>
      <c r="H77" s="225"/>
      <c r="I77" s="224"/>
      <c r="J77" s="227"/>
      <c r="K77" s="80"/>
      <c r="M77" s="52"/>
    </row>
    <row r="78" spans="1:13" ht="24" customHeight="1" x14ac:dyDescent="0.25">
      <c r="A78" s="88" t="s">
        <v>71</v>
      </c>
      <c r="B78" s="137" t="s">
        <v>72</v>
      </c>
      <c r="C78" s="228"/>
      <c r="D78" s="228"/>
      <c r="E78" s="225">
        <f t="shared" si="7"/>
        <v>0</v>
      </c>
      <c r="F78" s="228"/>
      <c r="G78" s="228"/>
      <c r="H78" s="228"/>
      <c r="I78" s="224"/>
      <c r="J78" s="227"/>
      <c r="K78" s="80"/>
    </row>
    <row r="79" spans="1:13" ht="24" hidden="1" customHeight="1" x14ac:dyDescent="0.25">
      <c r="A79" s="145">
        <v>1</v>
      </c>
      <c r="B79" s="146" t="s">
        <v>73</v>
      </c>
      <c r="C79" s="228"/>
      <c r="D79" s="228"/>
      <c r="E79" s="225">
        <f t="shared" si="7"/>
        <v>0</v>
      </c>
      <c r="F79" s="228"/>
      <c r="G79" s="228"/>
      <c r="H79" s="228"/>
      <c r="I79" s="224" t="e">
        <f t="shared" si="15"/>
        <v>#DIV/0!</v>
      </c>
      <c r="J79" s="227"/>
      <c r="K79" s="80"/>
    </row>
    <row r="80" spans="1:13" ht="24" hidden="1" customHeight="1" x14ac:dyDescent="0.25">
      <c r="A80" s="135" t="s">
        <v>74</v>
      </c>
      <c r="B80" s="140" t="s">
        <v>75</v>
      </c>
      <c r="C80" s="228"/>
      <c r="D80" s="228"/>
      <c r="E80" s="225">
        <f t="shared" si="7"/>
        <v>0</v>
      </c>
      <c r="F80" s="228"/>
      <c r="G80" s="228"/>
      <c r="H80" s="228"/>
      <c r="I80" s="224" t="e">
        <f t="shared" si="15"/>
        <v>#DIV/0!</v>
      </c>
      <c r="J80" s="227"/>
      <c r="K80" s="80"/>
    </row>
    <row r="81" spans="1:11" ht="24" hidden="1" customHeight="1" x14ac:dyDescent="0.25">
      <c r="A81" s="135" t="s">
        <v>76</v>
      </c>
      <c r="B81" s="140" t="s">
        <v>77</v>
      </c>
      <c r="C81" s="228"/>
      <c r="D81" s="228"/>
      <c r="E81" s="225">
        <f t="shared" si="7"/>
        <v>0</v>
      </c>
      <c r="F81" s="228"/>
      <c r="G81" s="228"/>
      <c r="H81" s="228"/>
      <c r="I81" s="224" t="e">
        <f t="shared" si="15"/>
        <v>#DIV/0!</v>
      </c>
      <c r="J81" s="227"/>
      <c r="K81" s="80"/>
    </row>
    <row r="82" spans="1:11" ht="24" hidden="1" customHeight="1" x14ac:dyDescent="0.25">
      <c r="A82" s="135" t="s">
        <v>78</v>
      </c>
      <c r="B82" s="140" t="s">
        <v>79</v>
      </c>
      <c r="C82" s="228"/>
      <c r="D82" s="228"/>
      <c r="E82" s="225">
        <f t="shared" si="7"/>
        <v>0</v>
      </c>
      <c r="F82" s="228"/>
      <c r="G82" s="228"/>
      <c r="H82" s="228"/>
      <c r="I82" s="224" t="e">
        <f t="shared" si="15"/>
        <v>#DIV/0!</v>
      </c>
      <c r="J82" s="227"/>
      <c r="K82" s="80"/>
    </row>
    <row r="83" spans="1:11" ht="24" hidden="1" customHeight="1" x14ac:dyDescent="0.25">
      <c r="A83" s="135" t="s">
        <v>80</v>
      </c>
      <c r="B83" s="140" t="s">
        <v>81</v>
      </c>
      <c r="C83" s="228"/>
      <c r="D83" s="228"/>
      <c r="E83" s="225">
        <f t="shared" si="7"/>
        <v>0</v>
      </c>
      <c r="F83" s="228"/>
      <c r="G83" s="228"/>
      <c r="H83" s="228"/>
      <c r="I83" s="224" t="e">
        <f t="shared" si="15"/>
        <v>#DIV/0!</v>
      </c>
      <c r="J83" s="227"/>
      <c r="K83" s="80"/>
    </row>
    <row r="84" spans="1:11" ht="24" hidden="1" customHeight="1" x14ac:dyDescent="0.25">
      <c r="A84" s="135" t="s">
        <v>82</v>
      </c>
      <c r="B84" s="140" t="s">
        <v>83</v>
      </c>
      <c r="C84" s="228"/>
      <c r="D84" s="228"/>
      <c r="E84" s="225">
        <f t="shared" si="7"/>
        <v>0</v>
      </c>
      <c r="F84" s="228"/>
      <c r="G84" s="228"/>
      <c r="H84" s="228"/>
      <c r="I84" s="224" t="e">
        <f t="shared" si="15"/>
        <v>#DIV/0!</v>
      </c>
      <c r="J84" s="227"/>
      <c r="K84" s="80"/>
    </row>
    <row r="85" spans="1:11" ht="24" hidden="1" customHeight="1" x14ac:dyDescent="0.25">
      <c r="A85" s="135" t="s">
        <v>84</v>
      </c>
      <c r="B85" s="140" t="s">
        <v>85</v>
      </c>
      <c r="C85" s="228"/>
      <c r="D85" s="228"/>
      <c r="E85" s="225">
        <f t="shared" si="7"/>
        <v>0</v>
      </c>
      <c r="F85" s="228"/>
      <c r="G85" s="228"/>
      <c r="H85" s="228"/>
      <c r="I85" s="224" t="e">
        <f t="shared" si="15"/>
        <v>#DIV/0!</v>
      </c>
      <c r="J85" s="227"/>
      <c r="K85" s="80"/>
    </row>
    <row r="86" spans="1:11" ht="24" hidden="1" customHeight="1" x14ac:dyDescent="0.25">
      <c r="A86" s="145">
        <v>2</v>
      </c>
      <c r="B86" s="146" t="s">
        <v>86</v>
      </c>
      <c r="C86" s="228"/>
      <c r="D86" s="228"/>
      <c r="E86" s="225">
        <f t="shared" si="7"/>
        <v>0</v>
      </c>
      <c r="F86" s="228"/>
      <c r="G86" s="228"/>
      <c r="H86" s="228"/>
      <c r="I86" s="224" t="e">
        <f t="shared" si="15"/>
        <v>#DIV/0!</v>
      </c>
      <c r="J86" s="227"/>
      <c r="K86" s="80"/>
    </row>
    <row r="87" spans="1:11" ht="24" hidden="1" customHeight="1" x14ac:dyDescent="0.25">
      <c r="A87" s="145">
        <v>3</v>
      </c>
      <c r="B87" s="146" t="s">
        <v>87</v>
      </c>
      <c r="C87" s="228"/>
      <c r="D87" s="228"/>
      <c r="E87" s="225">
        <f t="shared" si="7"/>
        <v>0</v>
      </c>
      <c r="F87" s="228"/>
      <c r="G87" s="228"/>
      <c r="H87" s="228"/>
      <c r="I87" s="224" t="e">
        <f t="shared" si="15"/>
        <v>#DIV/0!</v>
      </c>
      <c r="J87" s="227"/>
      <c r="K87" s="80"/>
    </row>
    <row r="88" spans="1:11" ht="24" hidden="1" customHeight="1" x14ac:dyDescent="0.25">
      <c r="A88" s="145">
        <v>4</v>
      </c>
      <c r="B88" s="146" t="s">
        <v>88</v>
      </c>
      <c r="C88" s="228"/>
      <c r="D88" s="228"/>
      <c r="E88" s="225">
        <f t="shared" si="7"/>
        <v>0</v>
      </c>
      <c r="F88" s="228"/>
      <c r="G88" s="228"/>
      <c r="H88" s="228"/>
      <c r="I88" s="224" t="e">
        <f t="shared" si="15"/>
        <v>#DIV/0!</v>
      </c>
      <c r="J88" s="227"/>
      <c r="K88" s="80"/>
    </row>
    <row r="89" spans="1:11" ht="32.25" hidden="1" customHeight="1" x14ac:dyDescent="0.25">
      <c r="A89" s="88" t="s">
        <v>89</v>
      </c>
      <c r="B89" s="137" t="s">
        <v>90</v>
      </c>
      <c r="C89" s="225">
        <f>SUM(C90:C98)</f>
        <v>0</v>
      </c>
      <c r="D89" s="225">
        <f t="shared" ref="D89:H89" si="16">SUM(D90:D98)</f>
        <v>0</v>
      </c>
      <c r="E89" s="225">
        <f t="shared" si="7"/>
        <v>0</v>
      </c>
      <c r="F89" s="225">
        <f t="shared" si="16"/>
        <v>0</v>
      </c>
      <c r="G89" s="225">
        <f t="shared" si="16"/>
        <v>0</v>
      </c>
      <c r="H89" s="225">
        <f t="shared" si="16"/>
        <v>0</v>
      </c>
      <c r="I89" s="224" t="e">
        <f t="shared" si="15"/>
        <v>#DIV/0!</v>
      </c>
      <c r="J89" s="227"/>
      <c r="K89" s="80"/>
    </row>
    <row r="90" spans="1:11" ht="24" customHeight="1" x14ac:dyDescent="0.25">
      <c r="A90" s="135">
        <v>1</v>
      </c>
      <c r="B90" s="140" t="s">
        <v>91</v>
      </c>
      <c r="C90" s="228"/>
      <c r="D90" s="228"/>
      <c r="E90" s="225">
        <f t="shared" si="7"/>
        <v>0</v>
      </c>
      <c r="F90" s="228"/>
      <c r="G90" s="228"/>
      <c r="H90" s="228"/>
      <c r="I90" s="224"/>
      <c r="J90" s="227"/>
      <c r="K90" s="80"/>
    </row>
    <row r="91" spans="1:11" ht="24" hidden="1" customHeight="1" x14ac:dyDescent="0.25">
      <c r="A91" s="135">
        <v>2</v>
      </c>
      <c r="B91" s="140" t="s">
        <v>92</v>
      </c>
      <c r="C91" s="228"/>
      <c r="D91" s="228"/>
      <c r="E91" s="225">
        <f t="shared" si="7"/>
        <v>0</v>
      </c>
      <c r="F91" s="228"/>
      <c r="G91" s="228"/>
      <c r="H91" s="228"/>
      <c r="I91" s="224"/>
      <c r="J91" s="227"/>
      <c r="K91" s="80"/>
    </row>
    <row r="92" spans="1:11" ht="24" hidden="1" customHeight="1" x14ac:dyDescent="0.25">
      <c r="A92" s="135">
        <v>3</v>
      </c>
      <c r="B92" s="140" t="s">
        <v>93</v>
      </c>
      <c r="C92" s="228"/>
      <c r="D92" s="228"/>
      <c r="E92" s="225">
        <f t="shared" si="7"/>
        <v>0</v>
      </c>
      <c r="F92" s="228"/>
      <c r="G92" s="228"/>
      <c r="H92" s="228"/>
      <c r="I92" s="224"/>
      <c r="J92" s="227"/>
      <c r="K92" s="80"/>
    </row>
    <row r="93" spans="1:11" ht="24" hidden="1" customHeight="1" x14ac:dyDescent="0.25">
      <c r="A93" s="135">
        <v>4</v>
      </c>
      <c r="B93" s="140" t="s">
        <v>94</v>
      </c>
      <c r="C93" s="228"/>
      <c r="D93" s="228"/>
      <c r="E93" s="225">
        <f t="shared" si="7"/>
        <v>0</v>
      </c>
      <c r="F93" s="228"/>
      <c r="G93" s="228"/>
      <c r="H93" s="228"/>
      <c r="I93" s="224"/>
      <c r="J93" s="227"/>
      <c r="K93" s="80"/>
    </row>
    <row r="94" spans="1:11" ht="24" hidden="1" customHeight="1" x14ac:dyDescent="0.25">
      <c r="A94" s="135">
        <v>5</v>
      </c>
      <c r="B94" s="140" t="s">
        <v>95</v>
      </c>
      <c r="C94" s="228"/>
      <c r="D94" s="228"/>
      <c r="E94" s="225">
        <f t="shared" si="7"/>
        <v>0</v>
      </c>
      <c r="F94" s="228"/>
      <c r="G94" s="228"/>
      <c r="H94" s="228"/>
      <c r="I94" s="224"/>
      <c r="J94" s="227"/>
      <c r="K94" s="80"/>
    </row>
    <row r="95" spans="1:11" ht="24" hidden="1" customHeight="1" x14ac:dyDescent="0.25">
      <c r="A95" s="135">
        <v>6</v>
      </c>
      <c r="B95" s="140" t="s">
        <v>96</v>
      </c>
      <c r="C95" s="228"/>
      <c r="D95" s="228"/>
      <c r="E95" s="225">
        <f t="shared" si="7"/>
        <v>0</v>
      </c>
      <c r="F95" s="228"/>
      <c r="G95" s="228"/>
      <c r="H95" s="228"/>
      <c r="I95" s="224"/>
      <c r="J95" s="227"/>
      <c r="K95" s="80"/>
    </row>
    <row r="96" spans="1:11" ht="24" hidden="1" customHeight="1" x14ac:dyDescent="0.25">
      <c r="A96" s="135">
        <v>7</v>
      </c>
      <c r="B96" s="140" t="s">
        <v>97</v>
      </c>
      <c r="C96" s="228"/>
      <c r="D96" s="228"/>
      <c r="E96" s="225">
        <f t="shared" si="7"/>
        <v>0</v>
      </c>
      <c r="F96" s="228"/>
      <c r="G96" s="228"/>
      <c r="H96" s="228"/>
      <c r="I96" s="224"/>
      <c r="J96" s="227"/>
      <c r="K96" s="80"/>
    </row>
    <row r="97" spans="1:11" ht="24" hidden="1" customHeight="1" x14ac:dyDescent="0.25">
      <c r="A97" s="135">
        <v>8</v>
      </c>
      <c r="B97" s="140" t="s">
        <v>98</v>
      </c>
      <c r="C97" s="228"/>
      <c r="D97" s="228"/>
      <c r="E97" s="225">
        <f t="shared" si="7"/>
        <v>0</v>
      </c>
      <c r="F97" s="228"/>
      <c r="G97" s="228"/>
      <c r="H97" s="228"/>
      <c r="I97" s="224"/>
      <c r="J97" s="227"/>
      <c r="K97" s="80"/>
    </row>
    <row r="98" spans="1:11" ht="24" hidden="1" customHeight="1" x14ac:dyDescent="0.25">
      <c r="A98" s="135">
        <v>9</v>
      </c>
      <c r="B98" s="140" t="s">
        <v>85</v>
      </c>
      <c r="C98" s="228"/>
      <c r="D98" s="228"/>
      <c r="E98" s="225">
        <f t="shared" si="7"/>
        <v>0</v>
      </c>
      <c r="F98" s="228"/>
      <c r="G98" s="228"/>
      <c r="H98" s="228"/>
      <c r="I98" s="224"/>
      <c r="J98" s="227"/>
      <c r="K98" s="80"/>
    </row>
    <row r="99" spans="1:11" ht="24" hidden="1" customHeight="1" x14ac:dyDescent="0.25">
      <c r="A99" s="88" t="s">
        <v>99</v>
      </c>
      <c r="B99" s="137" t="s">
        <v>100</v>
      </c>
      <c r="C99" s="228"/>
      <c r="D99" s="228"/>
      <c r="E99" s="225">
        <f t="shared" si="7"/>
        <v>0</v>
      </c>
      <c r="F99" s="228"/>
      <c r="G99" s="228"/>
      <c r="H99" s="228"/>
      <c r="I99" s="224"/>
      <c r="J99" s="227"/>
      <c r="K99" s="80"/>
    </row>
    <row r="100" spans="1:11" ht="24" customHeight="1" x14ac:dyDescent="0.25">
      <c r="A100" s="88" t="s">
        <v>101</v>
      </c>
      <c r="B100" s="137" t="s">
        <v>102</v>
      </c>
      <c r="C100" s="228"/>
      <c r="D100" s="228"/>
      <c r="E100" s="226">
        <f t="shared" si="7"/>
        <v>0</v>
      </c>
      <c r="F100" s="225">
        <f>SUM(F101:F102)</f>
        <v>0</v>
      </c>
      <c r="G100" s="225">
        <f t="shared" ref="G100" si="17">SUM(G101:G102)</f>
        <v>0</v>
      </c>
      <c r="H100" s="228"/>
      <c r="I100" s="224"/>
      <c r="J100" s="227"/>
      <c r="K100" s="80"/>
    </row>
    <row r="101" spans="1:11" ht="24" customHeight="1" x14ac:dyDescent="0.25">
      <c r="A101" s="135">
        <v>1</v>
      </c>
      <c r="B101" s="140" t="s">
        <v>103</v>
      </c>
      <c r="C101" s="228"/>
      <c r="D101" s="228"/>
      <c r="E101" s="225">
        <f t="shared" si="7"/>
        <v>0</v>
      </c>
      <c r="F101" s="228"/>
      <c r="G101" s="228"/>
      <c r="H101" s="228"/>
      <c r="I101" s="224"/>
      <c r="J101" s="227"/>
      <c r="K101" s="80"/>
    </row>
    <row r="102" spans="1:11" ht="24" customHeight="1" x14ac:dyDescent="0.25">
      <c r="A102" s="135">
        <v>2</v>
      </c>
      <c r="B102" s="140" t="s">
        <v>104</v>
      </c>
      <c r="C102" s="228"/>
      <c r="D102" s="228"/>
      <c r="E102" s="225">
        <f t="shared" si="7"/>
        <v>0</v>
      </c>
      <c r="F102" s="228"/>
      <c r="G102" s="228"/>
      <c r="H102" s="228"/>
      <c r="I102" s="224"/>
      <c r="J102" s="227"/>
      <c r="K102" s="80"/>
    </row>
    <row r="103" spans="1:11" ht="29.45" hidden="1" customHeight="1" x14ac:dyDescent="0.25">
      <c r="A103" s="88" t="s">
        <v>105</v>
      </c>
      <c r="B103" s="137" t="s">
        <v>106</v>
      </c>
      <c r="C103" s="228"/>
      <c r="D103" s="228"/>
      <c r="E103" s="225">
        <f t="shared" si="7"/>
        <v>0</v>
      </c>
      <c r="F103" s="228"/>
      <c r="G103" s="228"/>
      <c r="H103" s="228"/>
      <c r="I103" s="224"/>
      <c r="J103" s="227"/>
      <c r="K103" s="80"/>
    </row>
    <row r="104" spans="1:11" ht="29.45" hidden="1" customHeight="1" x14ac:dyDescent="0.25">
      <c r="A104" s="145">
        <v>1</v>
      </c>
      <c r="B104" s="146" t="s">
        <v>107</v>
      </c>
      <c r="C104" s="228"/>
      <c r="D104" s="228"/>
      <c r="E104" s="225">
        <f t="shared" si="7"/>
        <v>0</v>
      </c>
      <c r="F104" s="228"/>
      <c r="G104" s="228"/>
      <c r="H104" s="228"/>
      <c r="I104" s="224"/>
      <c r="J104" s="227"/>
      <c r="K104" s="80"/>
    </row>
    <row r="105" spans="1:11" ht="24" hidden="1" customHeight="1" x14ac:dyDescent="0.25">
      <c r="A105" s="145">
        <v>2</v>
      </c>
      <c r="B105" s="146" t="s">
        <v>108</v>
      </c>
      <c r="C105" s="228"/>
      <c r="D105" s="228"/>
      <c r="E105" s="225">
        <f t="shared" si="7"/>
        <v>0</v>
      </c>
      <c r="F105" s="228"/>
      <c r="G105" s="228"/>
      <c r="H105" s="228"/>
      <c r="I105" s="224"/>
      <c r="J105" s="227"/>
      <c r="K105" s="80"/>
    </row>
    <row r="106" spans="1:11" ht="24" hidden="1" customHeight="1" x14ac:dyDescent="0.25">
      <c r="A106" s="135" t="s">
        <v>109</v>
      </c>
      <c r="B106" s="140" t="s">
        <v>110</v>
      </c>
      <c r="C106" s="228"/>
      <c r="D106" s="228"/>
      <c r="E106" s="225">
        <f t="shared" si="7"/>
        <v>0</v>
      </c>
      <c r="F106" s="228"/>
      <c r="G106" s="228"/>
      <c r="H106" s="228"/>
      <c r="I106" s="224"/>
      <c r="J106" s="227"/>
      <c r="K106" s="80"/>
    </row>
    <row r="107" spans="1:11" ht="24" hidden="1" customHeight="1" x14ac:dyDescent="0.25">
      <c r="A107" s="135" t="s">
        <v>111</v>
      </c>
      <c r="B107" s="140" t="s">
        <v>112</v>
      </c>
      <c r="C107" s="228"/>
      <c r="D107" s="228"/>
      <c r="E107" s="225">
        <f t="shared" si="7"/>
        <v>0</v>
      </c>
      <c r="F107" s="228"/>
      <c r="G107" s="228"/>
      <c r="H107" s="228"/>
      <c r="I107" s="224"/>
      <c r="J107" s="227"/>
      <c r="K107" s="80"/>
    </row>
    <row r="108" spans="1:11" ht="24" hidden="1" customHeight="1" x14ac:dyDescent="0.25">
      <c r="A108" s="145">
        <v>3</v>
      </c>
      <c r="B108" s="146" t="s">
        <v>113</v>
      </c>
      <c r="C108" s="228"/>
      <c r="D108" s="228"/>
      <c r="E108" s="225">
        <f t="shared" si="7"/>
        <v>0</v>
      </c>
      <c r="F108" s="228"/>
      <c r="G108" s="228"/>
      <c r="H108" s="228"/>
      <c r="I108" s="224"/>
      <c r="J108" s="227"/>
      <c r="K108" s="80"/>
    </row>
    <row r="109" spans="1:11" ht="24" hidden="1" customHeight="1" x14ac:dyDescent="0.25">
      <c r="A109" s="88" t="s">
        <v>22</v>
      </c>
      <c r="B109" s="137" t="s">
        <v>114</v>
      </c>
      <c r="C109" s="228"/>
      <c r="D109" s="228"/>
      <c r="E109" s="225">
        <f t="shared" ref="E109:E115" si="18">SUM(F109:H109)</f>
        <v>0</v>
      </c>
      <c r="F109" s="228"/>
      <c r="G109" s="228"/>
      <c r="H109" s="228"/>
      <c r="I109" s="224"/>
      <c r="J109" s="227"/>
      <c r="K109" s="80"/>
    </row>
    <row r="110" spans="1:11" ht="24" hidden="1" customHeight="1" x14ac:dyDescent="0.25">
      <c r="A110" s="88" t="s">
        <v>115</v>
      </c>
      <c r="B110" s="137" t="s">
        <v>116</v>
      </c>
      <c r="C110" s="228"/>
      <c r="D110" s="228"/>
      <c r="E110" s="225">
        <f t="shared" si="18"/>
        <v>0</v>
      </c>
      <c r="F110" s="228"/>
      <c r="G110" s="228"/>
      <c r="H110" s="228"/>
      <c r="I110" s="224"/>
      <c r="J110" s="227"/>
      <c r="K110" s="80"/>
    </row>
    <row r="111" spans="1:11" ht="24" hidden="1" customHeight="1" x14ac:dyDescent="0.25">
      <c r="A111" s="135">
        <v>1</v>
      </c>
      <c r="B111" s="140" t="s">
        <v>117</v>
      </c>
      <c r="C111" s="228"/>
      <c r="D111" s="228"/>
      <c r="E111" s="225">
        <f t="shared" si="18"/>
        <v>0</v>
      </c>
      <c r="F111" s="228"/>
      <c r="G111" s="228"/>
      <c r="H111" s="228"/>
      <c r="I111" s="224"/>
      <c r="J111" s="227"/>
      <c r="K111" s="80"/>
    </row>
    <row r="112" spans="1:11" ht="24" hidden="1" customHeight="1" x14ac:dyDescent="0.25">
      <c r="A112" s="135">
        <v>2</v>
      </c>
      <c r="B112" s="140" t="s">
        <v>118</v>
      </c>
      <c r="C112" s="228"/>
      <c r="D112" s="228"/>
      <c r="E112" s="225">
        <f t="shared" si="18"/>
        <v>0</v>
      </c>
      <c r="F112" s="228"/>
      <c r="G112" s="228"/>
      <c r="H112" s="228"/>
      <c r="I112" s="224"/>
      <c r="J112" s="227"/>
      <c r="K112" s="80"/>
    </row>
    <row r="113" spans="1:12" ht="24" hidden="1" customHeight="1" x14ac:dyDescent="0.25">
      <c r="A113" s="88" t="s">
        <v>71</v>
      </c>
      <c r="B113" s="137" t="s">
        <v>119</v>
      </c>
      <c r="C113" s="228"/>
      <c r="D113" s="228"/>
      <c r="E113" s="225">
        <f t="shared" si="18"/>
        <v>0</v>
      </c>
      <c r="F113" s="228"/>
      <c r="G113" s="228"/>
      <c r="H113" s="228"/>
      <c r="I113" s="224"/>
      <c r="J113" s="227"/>
      <c r="K113" s="80"/>
    </row>
    <row r="114" spans="1:12" ht="24" hidden="1" customHeight="1" x14ac:dyDescent="0.25">
      <c r="A114" s="135">
        <v>1</v>
      </c>
      <c r="B114" s="140" t="s">
        <v>117</v>
      </c>
      <c r="C114" s="228"/>
      <c r="D114" s="228"/>
      <c r="E114" s="225">
        <f t="shared" si="18"/>
        <v>0</v>
      </c>
      <c r="F114" s="228"/>
      <c r="G114" s="228"/>
      <c r="H114" s="228"/>
      <c r="I114" s="224"/>
      <c r="J114" s="227"/>
      <c r="K114" s="80"/>
    </row>
    <row r="115" spans="1:12" ht="24" hidden="1" customHeight="1" x14ac:dyDescent="0.25">
      <c r="A115" s="135">
        <v>2</v>
      </c>
      <c r="B115" s="140" t="s">
        <v>118</v>
      </c>
      <c r="C115" s="228"/>
      <c r="D115" s="228"/>
      <c r="E115" s="225">
        <f t="shared" si="18"/>
        <v>0</v>
      </c>
      <c r="F115" s="228"/>
      <c r="G115" s="228"/>
      <c r="H115" s="228"/>
      <c r="I115" s="224"/>
      <c r="J115" s="227"/>
      <c r="K115" s="80"/>
    </row>
    <row r="116" spans="1:12" ht="28.35" customHeight="1" x14ac:dyDescent="0.25">
      <c r="A116" s="88" t="s">
        <v>120</v>
      </c>
      <c r="B116" s="137" t="s">
        <v>121</v>
      </c>
      <c r="C116" s="225">
        <f>C117+C122</f>
        <v>357269943537</v>
      </c>
      <c r="D116" s="225">
        <f t="shared" ref="D116" si="19">D117+D122</f>
        <v>357269943537</v>
      </c>
      <c r="E116" s="225">
        <f>E117+E122</f>
        <v>357811532037</v>
      </c>
      <c r="F116" s="225">
        <f>F117+F122</f>
        <v>0</v>
      </c>
      <c r="G116" s="225">
        <f>G117+G122</f>
        <v>541588500</v>
      </c>
      <c r="H116" s="225">
        <f>H117+H122</f>
        <v>357269943537</v>
      </c>
      <c r="I116" s="224">
        <f t="shared" si="15"/>
        <v>100.15159083762777</v>
      </c>
      <c r="J116" s="227">
        <f>E116/D116*100</f>
        <v>100.15159083762777</v>
      </c>
      <c r="K116" s="80">
        <v>358473992020</v>
      </c>
      <c r="L116" s="398">
        <f>E116-K116</f>
        <v>-662459983</v>
      </c>
    </row>
    <row r="117" spans="1:12" ht="28.35" customHeight="1" x14ac:dyDescent="0.25">
      <c r="A117" s="88" t="s">
        <v>115</v>
      </c>
      <c r="B117" s="137" t="s">
        <v>122</v>
      </c>
      <c r="C117" s="225">
        <f t="shared" ref="C117:H117" si="20">C118+C119</f>
        <v>357269943537</v>
      </c>
      <c r="D117" s="225">
        <f t="shared" si="20"/>
        <v>357269943537</v>
      </c>
      <c r="E117" s="225">
        <f t="shared" si="20"/>
        <v>357269943537</v>
      </c>
      <c r="F117" s="225">
        <f t="shared" si="20"/>
        <v>0</v>
      </c>
      <c r="G117" s="225">
        <f t="shared" si="20"/>
        <v>0</v>
      </c>
      <c r="H117" s="225">
        <f t="shared" si="20"/>
        <v>357269943537</v>
      </c>
      <c r="I117" s="224">
        <f t="shared" si="15"/>
        <v>100</v>
      </c>
      <c r="J117" s="227">
        <f>E117/D117*100</f>
        <v>100</v>
      </c>
      <c r="K117" s="80"/>
    </row>
    <row r="118" spans="1:12" ht="28.35" customHeight="1" x14ac:dyDescent="0.25">
      <c r="A118" s="145" t="s">
        <v>123</v>
      </c>
      <c r="B118" s="146" t="s">
        <v>124</v>
      </c>
      <c r="C118" s="397">
        <f>15821225190+145483955040+17255400935-3248302-145483955040</f>
        <v>33073377823</v>
      </c>
      <c r="D118" s="397">
        <f>C118</f>
        <v>33073377823</v>
      </c>
      <c r="E118" s="225">
        <f>SUM(F118:H118)</f>
        <v>33073377823</v>
      </c>
      <c r="F118" s="225"/>
      <c r="G118" s="225"/>
      <c r="H118" s="225">
        <f>178557332863-145483955040</f>
        <v>33073377823</v>
      </c>
      <c r="I118" s="224">
        <f t="shared" si="15"/>
        <v>100</v>
      </c>
      <c r="J118" s="227">
        <f>E118/D118*100</f>
        <v>100</v>
      </c>
      <c r="K118" s="80">
        <f>178557332863-C118</f>
        <v>145483955040</v>
      </c>
    </row>
    <row r="119" spans="1:12" s="50" customFormat="1" ht="28.35" customHeight="1" x14ac:dyDescent="0.2">
      <c r="A119" s="145" t="s">
        <v>125</v>
      </c>
      <c r="B119" s="146" t="s">
        <v>126</v>
      </c>
      <c r="C119" s="397">
        <f>C120</f>
        <v>324196565714</v>
      </c>
      <c r="D119" s="397">
        <f t="shared" ref="D119:H119" si="21">D120</f>
        <v>324196565714</v>
      </c>
      <c r="E119" s="397">
        <f>E120</f>
        <v>324196565714</v>
      </c>
      <c r="F119" s="397">
        <f t="shared" si="21"/>
        <v>0</v>
      </c>
      <c r="G119" s="397">
        <f t="shared" si="21"/>
        <v>0</v>
      </c>
      <c r="H119" s="397">
        <f t="shared" si="21"/>
        <v>324196565714</v>
      </c>
      <c r="I119" s="224">
        <f t="shared" si="15"/>
        <v>100</v>
      </c>
      <c r="J119" s="227"/>
      <c r="K119" s="80"/>
    </row>
    <row r="120" spans="1:12" ht="28.35" customHeight="1" x14ac:dyDescent="0.25">
      <c r="A120" s="149" t="s">
        <v>109</v>
      </c>
      <c r="B120" s="141" t="s">
        <v>127</v>
      </c>
      <c r="C120" s="232">
        <f>181472714165-10000000-417790000-1669853508+145483955040-662459983</f>
        <v>324196565714</v>
      </c>
      <c r="D120" s="232">
        <f>C120</f>
        <v>324196565714</v>
      </c>
      <c r="E120" s="232">
        <f>SUM(F120:H120)</f>
        <v>324196565714</v>
      </c>
      <c r="F120" s="232"/>
      <c r="G120" s="232"/>
      <c r="H120" s="232">
        <f>179375070657+145483955040-662459983</f>
        <v>324196565714</v>
      </c>
      <c r="I120" s="224">
        <f t="shared" si="15"/>
        <v>100</v>
      </c>
      <c r="J120" s="234"/>
      <c r="K120" s="80">
        <f>179375070657-C120</f>
        <v>-144821495057</v>
      </c>
    </row>
    <row r="121" spans="1:12" ht="28.35" customHeight="1" x14ac:dyDescent="0.25">
      <c r="A121" s="149" t="s">
        <v>111</v>
      </c>
      <c r="B121" s="141" t="s">
        <v>128</v>
      </c>
      <c r="C121" s="147"/>
      <c r="D121" s="147"/>
      <c r="E121" s="148">
        <f>SUM(F121:H121)</f>
        <v>0</v>
      </c>
      <c r="F121" s="147"/>
      <c r="G121" s="147"/>
      <c r="H121" s="147"/>
      <c r="I121" s="224"/>
      <c r="J121" s="235"/>
      <c r="K121" s="80"/>
    </row>
    <row r="122" spans="1:12" ht="28.35" customHeight="1" x14ac:dyDescent="0.25">
      <c r="A122" s="88" t="s">
        <v>71</v>
      </c>
      <c r="B122" s="137" t="s">
        <v>129</v>
      </c>
      <c r="C122" s="91"/>
      <c r="D122" s="91"/>
      <c r="E122" s="136">
        <f>SUM(F122:H122)</f>
        <v>541588500</v>
      </c>
      <c r="F122" s="136"/>
      <c r="G122" s="136">
        <f>541588500</f>
        <v>541588500</v>
      </c>
      <c r="H122" s="136"/>
      <c r="I122" s="224"/>
      <c r="J122" s="224"/>
      <c r="K122" s="80"/>
    </row>
    <row r="123" spans="1:12" ht="28.35" customHeight="1" x14ac:dyDescent="0.25">
      <c r="A123" s="88" t="s">
        <v>130</v>
      </c>
      <c r="B123" s="137" t="s">
        <v>131</v>
      </c>
      <c r="C123" s="91"/>
      <c r="D123" s="91"/>
      <c r="E123" s="136">
        <f>SUM(F123:H123)</f>
        <v>1312415504</v>
      </c>
      <c r="F123" s="136"/>
      <c r="G123" s="136"/>
      <c r="H123" s="136">
        <v>1312415504</v>
      </c>
      <c r="I123" s="224"/>
      <c r="J123" s="224"/>
      <c r="K123" s="80"/>
    </row>
    <row r="124" spans="1:12" ht="28.35" customHeight="1" x14ac:dyDescent="0.25">
      <c r="A124" s="88" t="s">
        <v>132</v>
      </c>
      <c r="B124" s="137" t="s">
        <v>133</v>
      </c>
      <c r="C124" s="91"/>
      <c r="D124" s="91"/>
      <c r="E124" s="136">
        <f>SUM(F124:H124)</f>
        <v>28352000</v>
      </c>
      <c r="F124" s="136"/>
      <c r="G124" s="136"/>
      <c r="H124" s="136">
        <v>28352000</v>
      </c>
      <c r="I124" s="224"/>
      <c r="J124" s="224"/>
      <c r="K124" s="80"/>
    </row>
    <row r="125" spans="1:12" x14ac:dyDescent="0.25">
      <c r="A125" s="54"/>
    </row>
    <row r="126" spans="1:12" ht="15" customHeight="1" x14ac:dyDescent="0.25">
      <c r="A126" s="134"/>
      <c r="B126" s="134"/>
      <c r="D126" s="629"/>
      <c r="E126" s="629"/>
      <c r="F126" s="629"/>
      <c r="H126" s="629"/>
      <c r="I126" s="629"/>
      <c r="J126" s="629"/>
    </row>
    <row r="127" spans="1:12" s="55" customFormat="1" ht="15" hidden="1" customHeight="1" x14ac:dyDescent="0.25">
      <c r="A127" s="133"/>
      <c r="B127" s="171" t="s">
        <v>364</v>
      </c>
      <c r="C127" s="172"/>
      <c r="D127" s="619" t="s">
        <v>365</v>
      </c>
      <c r="E127" s="619"/>
      <c r="F127" s="619"/>
      <c r="G127" s="619"/>
      <c r="H127" s="622" t="s">
        <v>366</v>
      </c>
      <c r="I127" s="622"/>
      <c r="J127" s="622"/>
      <c r="K127" s="342"/>
    </row>
    <row r="128" spans="1:12" s="55" customFormat="1" ht="33.6" hidden="1" customHeight="1" x14ac:dyDescent="0.25">
      <c r="A128" s="132"/>
      <c r="B128" s="301" t="s">
        <v>385</v>
      </c>
      <c r="C128" s="172"/>
      <c r="D128" s="613" t="s">
        <v>361</v>
      </c>
      <c r="E128" s="613"/>
      <c r="F128" s="613"/>
      <c r="G128" s="613"/>
      <c r="H128" s="623" t="s">
        <v>367</v>
      </c>
      <c r="I128" s="623"/>
      <c r="J128" s="623"/>
      <c r="K128" s="343"/>
    </row>
    <row r="129" spans="1:11" hidden="1" x14ac:dyDescent="0.25">
      <c r="A129" s="134"/>
      <c r="B129" s="175"/>
      <c r="C129" s="153"/>
      <c r="D129" s="600" t="s">
        <v>220</v>
      </c>
      <c r="E129" s="600"/>
      <c r="F129" s="600"/>
      <c r="G129" s="600"/>
      <c r="H129" s="618" t="s">
        <v>363</v>
      </c>
      <c r="I129" s="618"/>
      <c r="J129" s="618"/>
      <c r="K129" s="344"/>
    </row>
    <row r="130" spans="1:11" hidden="1" x14ac:dyDescent="0.25">
      <c r="A130" s="56"/>
      <c r="B130" s="151"/>
      <c r="C130" s="153"/>
      <c r="D130" s="153"/>
      <c r="E130" s="600"/>
      <c r="F130" s="600"/>
      <c r="G130" s="154"/>
      <c r="H130" s="618"/>
      <c r="I130" s="618"/>
      <c r="J130" s="618"/>
      <c r="K130" s="618"/>
    </row>
    <row r="131" spans="1:11" hidden="1" x14ac:dyDescent="0.25">
      <c r="B131" s="151"/>
      <c r="C131" s="153"/>
      <c r="D131" s="153"/>
      <c r="E131" s="153"/>
      <c r="F131" s="153"/>
      <c r="G131" s="151"/>
      <c r="H131" s="155"/>
      <c r="I131" s="155"/>
      <c r="J131" s="155"/>
      <c r="K131" s="155"/>
    </row>
    <row r="132" spans="1:11" hidden="1" x14ac:dyDescent="0.25">
      <c r="B132" s="151"/>
      <c r="C132" s="617"/>
      <c r="D132" s="617"/>
      <c r="E132" s="153"/>
      <c r="F132" s="153"/>
      <c r="G132" s="151"/>
      <c r="H132" s="155"/>
      <c r="I132" s="155"/>
      <c r="J132" s="155"/>
      <c r="K132" s="155"/>
    </row>
    <row r="133" spans="1:11" hidden="1" x14ac:dyDescent="0.25">
      <c r="B133" s="151"/>
      <c r="C133" s="158"/>
      <c r="D133" s="153"/>
      <c r="E133" s="153"/>
      <c r="F133" s="153"/>
      <c r="G133" s="151"/>
      <c r="H133" s="155"/>
      <c r="I133" s="155"/>
      <c r="J133" s="155"/>
      <c r="K133" s="155"/>
    </row>
    <row r="134" spans="1:11" hidden="1" x14ac:dyDescent="0.25">
      <c r="B134" s="154"/>
      <c r="C134" s="153"/>
      <c r="D134" s="153"/>
      <c r="E134" s="153"/>
      <c r="F134" s="153"/>
      <c r="G134" s="151"/>
      <c r="H134" s="155"/>
      <c r="I134" s="155"/>
      <c r="J134" s="155"/>
      <c r="K134" s="155"/>
    </row>
    <row r="135" spans="1:11" s="57" customFormat="1" ht="16.5" hidden="1" x14ac:dyDescent="0.25">
      <c r="B135" s="151"/>
      <c r="C135" s="153"/>
      <c r="D135" s="153"/>
      <c r="E135" s="153"/>
      <c r="F135" s="153"/>
      <c r="G135" s="151"/>
      <c r="H135" s="155"/>
      <c r="I135" s="155"/>
      <c r="J135" s="155"/>
      <c r="K135" s="155"/>
    </row>
    <row r="136" spans="1:11" ht="15.75" hidden="1" x14ac:dyDescent="0.25">
      <c r="A136" s="134"/>
      <c r="B136" s="176"/>
      <c r="C136" s="177"/>
      <c r="D136" s="620" t="s">
        <v>362</v>
      </c>
      <c r="E136" s="620"/>
      <c r="F136" s="620"/>
      <c r="G136" s="620"/>
      <c r="H136" s="615" t="s">
        <v>330</v>
      </c>
      <c r="I136" s="615"/>
      <c r="J136" s="615"/>
      <c r="K136" s="345"/>
    </row>
    <row r="137" spans="1:11" hidden="1" x14ac:dyDescent="0.25">
      <c r="A137" s="134"/>
      <c r="B137" s="134"/>
      <c r="C137" s="134"/>
    </row>
    <row r="138" spans="1:11" hidden="1" x14ac:dyDescent="0.25">
      <c r="A138" s="134"/>
      <c r="B138" s="134"/>
      <c r="C138" s="134"/>
    </row>
    <row r="139" spans="1:11" x14ac:dyDescent="0.25">
      <c r="A139" s="134"/>
      <c r="B139" s="134"/>
      <c r="C139" s="134"/>
    </row>
    <row r="140" spans="1:11" x14ac:dyDescent="0.25">
      <c r="A140" s="134"/>
      <c r="B140" s="134"/>
      <c r="C140" s="134"/>
    </row>
    <row r="141" spans="1:11" x14ac:dyDescent="0.25">
      <c r="A141" s="134"/>
      <c r="B141" s="134"/>
      <c r="C141" s="134"/>
    </row>
    <row r="142" spans="1:11" x14ac:dyDescent="0.25">
      <c r="A142" s="134"/>
      <c r="B142" s="134"/>
      <c r="C142" s="134"/>
    </row>
    <row r="143" spans="1:11" x14ac:dyDescent="0.25">
      <c r="A143" s="134"/>
      <c r="B143" s="134"/>
      <c r="C143" s="134"/>
    </row>
    <row r="144" spans="1:11" x14ac:dyDescent="0.25">
      <c r="A144" s="134"/>
      <c r="B144" s="134"/>
      <c r="C144" s="134"/>
    </row>
    <row r="145" spans="1:3" x14ac:dyDescent="0.25">
      <c r="A145" s="134"/>
      <c r="B145" s="134"/>
      <c r="C145" s="134"/>
    </row>
  </sheetData>
  <mergeCells count="23">
    <mergeCell ref="E130:F130"/>
    <mergeCell ref="H130:K130"/>
    <mergeCell ref="C132:D132"/>
    <mergeCell ref="D136:G136"/>
    <mergeCell ref="H136:J136"/>
    <mergeCell ref="D129:G129"/>
    <mergeCell ref="H127:J127"/>
    <mergeCell ref="H128:J128"/>
    <mergeCell ref="H129:J129"/>
    <mergeCell ref="D126:F126"/>
    <mergeCell ref="H126:J126"/>
    <mergeCell ref="F5:H5"/>
    <mergeCell ref="C5:D5"/>
    <mergeCell ref="A1:J1"/>
    <mergeCell ref="D127:G127"/>
    <mergeCell ref="D128:G128"/>
    <mergeCell ref="I4:J4"/>
    <mergeCell ref="I5:J5"/>
    <mergeCell ref="A2:J2"/>
    <mergeCell ref="A3:J3"/>
    <mergeCell ref="A5:A6"/>
    <mergeCell ref="B5:B6"/>
    <mergeCell ref="E5:E6"/>
  </mergeCells>
  <printOptions horizontalCentered="1"/>
  <pageMargins left="0.23622047244094491" right="0.15748031496062992" top="0.39370078740157483" bottom="0.31496062992125984" header="0.19685039370078741" footer="0.19685039370078741"/>
  <pageSetup paperSize="9" scale="65" orientation="portrait" verticalDpi="0" r:id="rId1"/>
  <headerFooter>
    <oddFooter>&amp;C&amp;P</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77"/>
  <sheetViews>
    <sheetView zoomScale="90" zoomScaleNormal="90" workbookViewId="0">
      <pane xSplit="2" ySplit="6" topLeftCell="C7" activePane="bottomRight" state="frozen"/>
      <selection pane="topRight" activeCell="C1" sqref="C1"/>
      <selection pane="bottomLeft" activeCell="A8" sqref="A8"/>
      <selection pane="bottomRight" activeCell="A2" sqref="A2:H2"/>
    </sheetView>
  </sheetViews>
  <sheetFormatPr defaultColWidth="9.140625" defaultRowHeight="15" x14ac:dyDescent="0.25"/>
  <cols>
    <col min="1" max="1" width="6" style="2" customWidth="1"/>
    <col min="2" max="2" width="55.5703125" style="2" customWidth="1"/>
    <col min="3" max="4" width="14.42578125" style="2" customWidth="1"/>
    <col min="5" max="5" width="15.42578125" style="2" customWidth="1"/>
    <col min="6" max="6" width="13.5703125" style="2" customWidth="1"/>
    <col min="7" max="7" width="8.5703125" style="2" customWidth="1"/>
    <col min="8" max="8" width="9.42578125" style="2" customWidth="1"/>
    <col min="9" max="11" width="21.140625" style="2" customWidth="1"/>
    <col min="12" max="12" width="13.42578125" style="2" customWidth="1"/>
    <col min="13" max="13" width="22.42578125" style="2" customWidth="1"/>
    <col min="14" max="14" width="20.5703125" style="2" customWidth="1"/>
    <col min="15" max="15" width="12.5703125" style="2" customWidth="1"/>
    <col min="16" max="16" width="20.42578125" style="2" customWidth="1"/>
    <col min="17" max="18" width="17.42578125" style="16" customWidth="1"/>
    <col min="19" max="19" width="16.42578125" style="2" customWidth="1"/>
    <col min="20" max="20" width="13.140625" style="2" customWidth="1"/>
    <col min="21" max="16384" width="9.140625" style="2"/>
  </cols>
  <sheetData>
    <row r="1" spans="1:18" ht="19.5" customHeight="1" x14ac:dyDescent="0.25">
      <c r="A1" s="600" t="s">
        <v>538</v>
      </c>
      <c r="B1" s="600"/>
      <c r="C1" s="600"/>
      <c r="D1" s="600"/>
      <c r="E1" s="600"/>
      <c r="F1" s="600"/>
      <c r="G1" s="600"/>
      <c r="H1" s="400"/>
      <c r="I1" s="7"/>
      <c r="J1" s="7"/>
      <c r="K1" s="7"/>
      <c r="L1" s="7"/>
    </row>
    <row r="2" spans="1:18" ht="18.75" x14ac:dyDescent="0.3">
      <c r="A2" s="601" t="s">
        <v>609</v>
      </c>
      <c r="B2" s="601"/>
      <c r="C2" s="601"/>
      <c r="D2" s="601"/>
      <c r="E2" s="601"/>
      <c r="F2" s="601"/>
      <c r="G2" s="601"/>
      <c r="H2" s="601"/>
      <c r="I2" s="306"/>
      <c r="J2" s="306"/>
      <c r="K2" s="306"/>
      <c r="L2" s="306"/>
    </row>
    <row r="3" spans="1:18" ht="18.75" x14ac:dyDescent="0.3">
      <c r="A3" s="602" t="str">
        <f>'59'!A4:K4</f>
        <v>(Kèm theo Nghị quyết số 13/NQ-HĐND ngày 25 tháng 3 năm 2026 của HĐND  xã Quỳnh Nhai)</v>
      </c>
      <c r="B3" s="602"/>
      <c r="C3" s="602"/>
      <c r="D3" s="602"/>
      <c r="E3" s="602"/>
      <c r="F3" s="602"/>
      <c r="G3" s="602"/>
      <c r="H3" s="602"/>
      <c r="I3" s="307"/>
      <c r="J3" s="307"/>
      <c r="K3" s="307"/>
      <c r="L3" s="307"/>
    </row>
    <row r="4" spans="1:18" ht="30" customHeight="1" x14ac:dyDescent="0.25">
      <c r="D4" s="28"/>
      <c r="E4" s="28"/>
      <c r="F4" s="28"/>
      <c r="G4" s="633" t="s">
        <v>227</v>
      </c>
      <c r="H4" s="633"/>
      <c r="I4" s="59"/>
      <c r="J4" s="59"/>
      <c r="K4" s="59"/>
      <c r="L4" s="59"/>
    </row>
    <row r="5" spans="1:18" s="269" customFormat="1" ht="20.25" customHeight="1" x14ac:dyDescent="0.25">
      <c r="A5" s="644" t="s">
        <v>14</v>
      </c>
      <c r="B5" s="638" t="s">
        <v>134</v>
      </c>
      <c r="C5" s="640" t="s">
        <v>332</v>
      </c>
      <c r="D5" s="641"/>
      <c r="E5" s="634" t="s">
        <v>333</v>
      </c>
      <c r="F5" s="635"/>
      <c r="G5" s="636" t="s">
        <v>135</v>
      </c>
      <c r="H5" s="637"/>
      <c r="I5" s="313"/>
      <c r="J5" s="313"/>
      <c r="K5" s="313"/>
      <c r="L5" s="41"/>
      <c r="M5" s="268"/>
      <c r="Q5" s="270"/>
      <c r="R5" s="270"/>
    </row>
    <row r="6" spans="1:18" s="269" customFormat="1" ht="35.25" customHeight="1" x14ac:dyDescent="0.25">
      <c r="A6" s="645"/>
      <c r="B6" s="639"/>
      <c r="C6" s="271" t="s">
        <v>312</v>
      </c>
      <c r="D6" s="271" t="s">
        <v>313</v>
      </c>
      <c r="E6" s="271" t="s">
        <v>314</v>
      </c>
      <c r="F6" s="271" t="s">
        <v>315</v>
      </c>
      <c r="G6" s="272" t="s">
        <v>312</v>
      </c>
      <c r="H6" s="272" t="s">
        <v>313</v>
      </c>
      <c r="I6" s="313"/>
      <c r="J6" s="313"/>
      <c r="K6" s="313"/>
      <c r="L6" s="41"/>
      <c r="M6" s="268"/>
      <c r="N6" s="268"/>
      <c r="Q6" s="270"/>
      <c r="R6" s="270"/>
    </row>
    <row r="7" spans="1:18" s="12" customFormat="1" ht="19.5" customHeight="1" x14ac:dyDescent="0.25">
      <c r="A7" s="236" t="s">
        <v>21</v>
      </c>
      <c r="B7" s="236" t="s">
        <v>22</v>
      </c>
      <c r="C7" s="236">
        <v>1</v>
      </c>
      <c r="D7" s="236">
        <v>2</v>
      </c>
      <c r="E7" s="236">
        <v>3</v>
      </c>
      <c r="F7" s="236">
        <v>6</v>
      </c>
      <c r="G7" s="236">
        <v>7</v>
      </c>
      <c r="H7" s="236">
        <v>8</v>
      </c>
      <c r="I7" s="314"/>
      <c r="J7" s="314"/>
      <c r="K7" s="314"/>
      <c r="L7" s="42"/>
      <c r="M7" s="39">
        <f>'[1]B61-TT342'!C9-'[1]B62-TT342'!C9</f>
        <v>0</v>
      </c>
      <c r="Q7" s="60"/>
      <c r="R7" s="92"/>
    </row>
    <row r="8" spans="1:18" s="12" customFormat="1" ht="24" customHeight="1" x14ac:dyDescent="0.25">
      <c r="A8" s="88" t="s">
        <v>21</v>
      </c>
      <c r="B8" s="137" t="s">
        <v>136</v>
      </c>
      <c r="C8" s="136">
        <f>C9+C26+C39+C54+C56+C55</f>
        <v>358760943537</v>
      </c>
      <c r="D8" s="136">
        <f>D9+D26+D39+D54+D56+D55</f>
        <v>358760943537</v>
      </c>
      <c r="E8" s="136">
        <f>E9+E26+E39+E54+E56+E55</f>
        <v>360644425200</v>
      </c>
      <c r="F8" s="136">
        <f>F9+F26+F39+F54+F56+F55</f>
        <v>360644425200</v>
      </c>
      <c r="G8" s="224">
        <f>E8/C8*100</f>
        <v>100.5249962954247</v>
      </c>
      <c r="H8" s="224">
        <f>E8/D8*100</f>
        <v>100.5249962954247</v>
      </c>
      <c r="I8" s="312">
        <v>355904538254</v>
      </c>
      <c r="J8" s="312">
        <f>I8-F8</f>
        <v>-4739886946</v>
      </c>
      <c r="K8" s="312"/>
      <c r="L8" s="43"/>
      <c r="M8" s="39"/>
      <c r="Q8" s="60"/>
      <c r="R8" s="60"/>
    </row>
    <row r="9" spans="1:18" s="12" customFormat="1" ht="24" customHeight="1" x14ac:dyDescent="0.25">
      <c r="A9" s="88" t="s">
        <v>115</v>
      </c>
      <c r="B9" s="137" t="s">
        <v>137</v>
      </c>
      <c r="C9" s="136"/>
      <c r="D9" s="136"/>
      <c r="E9" s="136">
        <f t="shared" ref="E9:E25" si="0">SUM(F9:F9)</f>
        <v>0</v>
      </c>
      <c r="F9" s="136">
        <f>F10+F24+F25</f>
        <v>0</v>
      </c>
      <c r="G9" s="224"/>
      <c r="H9" s="224"/>
      <c r="I9" s="312"/>
      <c r="J9" s="312"/>
      <c r="K9" s="312"/>
      <c r="L9" s="43"/>
      <c r="M9" s="39"/>
      <c r="Q9" s="60"/>
      <c r="R9" s="60"/>
    </row>
    <row r="10" spans="1:18" s="12" customFormat="1" ht="24" hidden="1" customHeight="1" x14ac:dyDescent="0.25">
      <c r="A10" s="88">
        <v>1</v>
      </c>
      <c r="B10" s="137" t="s">
        <v>138</v>
      </c>
      <c r="C10" s="136"/>
      <c r="D10" s="225"/>
      <c r="E10" s="136">
        <f t="shared" si="0"/>
        <v>0</v>
      </c>
      <c r="F10" s="136">
        <f>SUM(F11:F23)</f>
        <v>0</v>
      </c>
      <c r="G10" s="224"/>
      <c r="H10" s="224"/>
      <c r="I10" s="312"/>
      <c r="J10" s="312"/>
      <c r="K10" s="312"/>
      <c r="L10" s="43"/>
      <c r="M10" s="39"/>
      <c r="Q10" s="60"/>
      <c r="R10" s="60"/>
    </row>
    <row r="11" spans="1:18" s="12" customFormat="1" ht="24" hidden="1" customHeight="1" x14ac:dyDescent="0.25">
      <c r="A11" s="135" t="s">
        <v>74</v>
      </c>
      <c r="B11" s="140" t="s">
        <v>139</v>
      </c>
      <c r="C11" s="228"/>
      <c r="D11" s="228"/>
      <c r="E11" s="225">
        <f t="shared" si="0"/>
        <v>0</v>
      </c>
      <c r="F11" s="228"/>
      <c r="G11" s="228"/>
      <c r="H11" s="228"/>
      <c r="I11" s="315"/>
      <c r="J11" s="315"/>
      <c r="K11" s="315"/>
      <c r="L11" s="43"/>
      <c r="M11" s="150"/>
      <c r="Q11" s="60"/>
      <c r="R11" s="60"/>
    </row>
    <row r="12" spans="1:18" s="12" customFormat="1" ht="24" hidden="1" customHeight="1" x14ac:dyDescent="0.25">
      <c r="A12" s="135" t="s">
        <v>76</v>
      </c>
      <c r="B12" s="140" t="s">
        <v>140</v>
      </c>
      <c r="C12" s="91"/>
      <c r="D12" s="228"/>
      <c r="E12" s="136">
        <f t="shared" si="0"/>
        <v>0</v>
      </c>
      <c r="F12" s="91"/>
      <c r="G12" s="91"/>
      <c r="H12" s="91"/>
      <c r="I12" s="316"/>
      <c r="J12" s="316"/>
      <c r="K12" s="316"/>
      <c r="L12" s="43"/>
      <c r="M12" s="39"/>
      <c r="Q12" s="60"/>
      <c r="R12" s="60"/>
    </row>
    <row r="13" spans="1:18" s="12" customFormat="1" ht="24" hidden="1" customHeight="1" x14ac:dyDescent="0.25">
      <c r="A13" s="135" t="s">
        <v>78</v>
      </c>
      <c r="B13" s="140" t="s">
        <v>141</v>
      </c>
      <c r="C13" s="91"/>
      <c r="D13" s="228"/>
      <c r="E13" s="136">
        <f t="shared" si="0"/>
        <v>0</v>
      </c>
      <c r="F13" s="91"/>
      <c r="G13" s="91"/>
      <c r="H13" s="91"/>
      <c r="I13" s="316"/>
      <c r="J13" s="316"/>
      <c r="K13" s="316"/>
      <c r="L13" s="43"/>
      <c r="M13" s="60"/>
      <c r="Q13" s="60"/>
      <c r="R13" s="60"/>
    </row>
    <row r="14" spans="1:18" s="12" customFormat="1" ht="24" hidden="1" customHeight="1" x14ac:dyDescent="0.25">
      <c r="A14" s="135" t="s">
        <v>80</v>
      </c>
      <c r="B14" s="140" t="s">
        <v>142</v>
      </c>
      <c r="C14" s="91"/>
      <c r="D14" s="228"/>
      <c r="E14" s="136">
        <f t="shared" si="0"/>
        <v>0</v>
      </c>
      <c r="F14" s="91"/>
      <c r="G14" s="91"/>
      <c r="H14" s="91"/>
      <c r="I14" s="316"/>
      <c r="J14" s="316"/>
      <c r="K14" s="316"/>
      <c r="L14" s="43"/>
      <c r="M14" s="60"/>
      <c r="Q14" s="60"/>
      <c r="R14" s="60"/>
    </row>
    <row r="15" spans="1:18" s="12" customFormat="1" ht="24" hidden="1" customHeight="1" x14ac:dyDescent="0.25">
      <c r="A15" s="135" t="s">
        <v>82</v>
      </c>
      <c r="B15" s="140" t="s">
        <v>143</v>
      </c>
      <c r="C15" s="91"/>
      <c r="D15" s="228"/>
      <c r="E15" s="136">
        <f t="shared" si="0"/>
        <v>0</v>
      </c>
      <c r="F15" s="91"/>
      <c r="G15" s="91"/>
      <c r="H15" s="91"/>
      <c r="I15" s="316"/>
      <c r="J15" s="316"/>
      <c r="K15" s="316"/>
      <c r="L15" s="43"/>
      <c r="M15" s="60"/>
      <c r="Q15" s="60"/>
      <c r="R15" s="60"/>
    </row>
    <row r="16" spans="1:18" s="12" customFormat="1" ht="24" hidden="1" customHeight="1" x14ac:dyDescent="0.25">
      <c r="A16" s="135" t="s">
        <v>84</v>
      </c>
      <c r="B16" s="140" t="s">
        <v>144</v>
      </c>
      <c r="C16" s="91"/>
      <c r="D16" s="228"/>
      <c r="E16" s="136">
        <f t="shared" si="0"/>
        <v>0</v>
      </c>
      <c r="F16" s="91">
        <f>3915175504-3915175504</f>
        <v>0</v>
      </c>
      <c r="G16" s="91"/>
      <c r="H16" s="91"/>
      <c r="I16" s="316"/>
      <c r="J16" s="316"/>
      <c r="K16" s="316"/>
      <c r="L16" s="43"/>
      <c r="M16" s="60"/>
      <c r="Q16" s="60"/>
      <c r="R16" s="60"/>
    </row>
    <row r="17" spans="1:20" s="12" customFormat="1" ht="24" hidden="1" customHeight="1" x14ac:dyDescent="0.25">
      <c r="A17" s="135" t="s">
        <v>145</v>
      </c>
      <c r="B17" s="140" t="s">
        <v>146</v>
      </c>
      <c r="C17" s="91"/>
      <c r="D17" s="228"/>
      <c r="E17" s="136">
        <f t="shared" si="0"/>
        <v>0</v>
      </c>
      <c r="F17" s="91"/>
      <c r="G17" s="91"/>
      <c r="H17" s="91"/>
      <c r="I17" s="316"/>
      <c r="J17" s="316"/>
      <c r="K17" s="316"/>
      <c r="L17" s="43"/>
      <c r="M17" s="60"/>
      <c r="Q17" s="60"/>
      <c r="R17" s="60"/>
    </row>
    <row r="18" spans="1:20" s="12" customFormat="1" ht="24" hidden="1" customHeight="1" x14ac:dyDescent="0.25">
      <c r="A18" s="135" t="s">
        <v>147</v>
      </c>
      <c r="B18" s="140" t="s">
        <v>148</v>
      </c>
      <c r="C18" s="91"/>
      <c r="D18" s="228"/>
      <c r="E18" s="136">
        <f t="shared" si="0"/>
        <v>0</v>
      </c>
      <c r="F18" s="91"/>
      <c r="G18" s="91"/>
      <c r="H18" s="91"/>
      <c r="I18" s="316"/>
      <c r="J18" s="316"/>
      <c r="K18" s="316"/>
      <c r="L18" s="43"/>
      <c r="M18" s="60"/>
      <c r="Q18" s="60"/>
      <c r="R18" s="60"/>
    </row>
    <row r="19" spans="1:20" s="12" customFormat="1" ht="24" hidden="1" customHeight="1" x14ac:dyDescent="0.25">
      <c r="A19" s="135" t="s">
        <v>149</v>
      </c>
      <c r="B19" s="140" t="s">
        <v>150</v>
      </c>
      <c r="C19" s="91"/>
      <c r="D19" s="228"/>
      <c r="E19" s="136">
        <f t="shared" si="0"/>
        <v>0</v>
      </c>
      <c r="F19" s="91"/>
      <c r="G19" s="91"/>
      <c r="H19" s="91"/>
      <c r="I19" s="316"/>
      <c r="J19" s="316"/>
      <c r="K19" s="316"/>
      <c r="L19" s="43"/>
      <c r="M19" s="60"/>
      <c r="Q19" s="60"/>
      <c r="R19" s="60"/>
    </row>
    <row r="20" spans="1:20" s="12" customFormat="1" ht="24" hidden="1" customHeight="1" x14ac:dyDescent="0.25">
      <c r="A20" s="135" t="s">
        <v>151</v>
      </c>
      <c r="B20" s="140" t="s">
        <v>152</v>
      </c>
      <c r="C20" s="91"/>
      <c r="D20" s="228"/>
      <c r="E20" s="136">
        <f t="shared" si="0"/>
        <v>0</v>
      </c>
      <c r="F20" s="91">
        <f>1871842000-1871842000</f>
        <v>0</v>
      </c>
      <c r="G20" s="91"/>
      <c r="H20" s="91"/>
      <c r="I20" s="316"/>
      <c r="J20" s="316"/>
      <c r="K20" s="316"/>
      <c r="L20" s="43"/>
      <c r="M20" s="60"/>
      <c r="Q20" s="60"/>
      <c r="R20" s="60"/>
    </row>
    <row r="21" spans="1:20" s="12" customFormat="1" ht="24" hidden="1" customHeight="1" x14ac:dyDescent="0.25">
      <c r="A21" s="135" t="s">
        <v>242</v>
      </c>
      <c r="B21" s="140" t="s">
        <v>153</v>
      </c>
      <c r="C21" s="91"/>
      <c r="D21" s="228"/>
      <c r="E21" s="136">
        <f t="shared" si="0"/>
        <v>0</v>
      </c>
      <c r="F21" s="91"/>
      <c r="G21" s="91"/>
      <c r="H21" s="91"/>
      <c r="I21" s="316"/>
      <c r="J21" s="316"/>
      <c r="K21" s="316"/>
      <c r="L21" s="43"/>
      <c r="M21" s="60"/>
      <c r="Q21" s="60"/>
      <c r="R21" s="60"/>
    </row>
    <row r="22" spans="1:20" s="12" customFormat="1" ht="24" hidden="1" customHeight="1" x14ac:dyDescent="0.25">
      <c r="A22" s="135" t="s">
        <v>154</v>
      </c>
      <c r="B22" s="140" t="s">
        <v>155</v>
      </c>
      <c r="C22" s="91"/>
      <c r="D22" s="228"/>
      <c r="E22" s="136">
        <f t="shared" si="0"/>
        <v>0</v>
      </c>
      <c r="F22" s="91"/>
      <c r="G22" s="91"/>
      <c r="H22" s="91"/>
      <c r="I22" s="316"/>
      <c r="J22" s="316"/>
      <c r="K22" s="316"/>
      <c r="L22" s="43"/>
      <c r="M22" s="60"/>
      <c r="Q22" s="60"/>
      <c r="R22" s="60"/>
    </row>
    <row r="23" spans="1:20" s="12" customFormat="1" ht="24" hidden="1" customHeight="1" x14ac:dyDescent="0.25">
      <c r="A23" s="135" t="s">
        <v>156</v>
      </c>
      <c r="B23" s="140" t="s">
        <v>157</v>
      </c>
      <c r="C23" s="91"/>
      <c r="D23" s="228"/>
      <c r="E23" s="136">
        <f t="shared" si="0"/>
        <v>0</v>
      </c>
      <c r="F23" s="91"/>
      <c r="G23" s="91"/>
      <c r="H23" s="91"/>
      <c r="I23" s="316"/>
      <c r="J23" s="316"/>
      <c r="K23" s="316"/>
      <c r="L23" s="43"/>
      <c r="N23" s="39"/>
      <c r="Q23" s="60"/>
      <c r="R23" s="60"/>
    </row>
    <row r="24" spans="1:20" s="12" customFormat="1" ht="24" hidden="1" customHeight="1" x14ac:dyDescent="0.25">
      <c r="A24" s="88">
        <v>2</v>
      </c>
      <c r="B24" s="137" t="s">
        <v>243</v>
      </c>
      <c r="C24" s="91"/>
      <c r="D24" s="228"/>
      <c r="E24" s="136">
        <f t="shared" si="0"/>
        <v>0</v>
      </c>
      <c r="F24" s="91"/>
      <c r="G24" s="91"/>
      <c r="H24" s="91"/>
      <c r="I24" s="316"/>
      <c r="J24" s="316"/>
      <c r="K24" s="316"/>
      <c r="L24" s="43"/>
      <c r="M24" s="73"/>
      <c r="Q24" s="60"/>
      <c r="R24" s="60"/>
    </row>
    <row r="25" spans="1:20" s="12" customFormat="1" ht="24" hidden="1" customHeight="1" x14ac:dyDescent="0.25">
      <c r="A25" s="88">
        <v>3</v>
      </c>
      <c r="B25" s="137" t="s">
        <v>158</v>
      </c>
      <c r="C25" s="91"/>
      <c r="D25" s="228"/>
      <c r="E25" s="136">
        <f t="shared" si="0"/>
        <v>0</v>
      </c>
      <c r="F25" s="91"/>
      <c r="G25" s="91"/>
      <c r="H25" s="91"/>
      <c r="I25" s="316"/>
      <c r="J25" s="316"/>
      <c r="K25" s="316"/>
      <c r="L25" s="43"/>
      <c r="M25" s="73"/>
      <c r="N25" s="73"/>
      <c r="Q25" s="60"/>
      <c r="R25" s="60"/>
    </row>
    <row r="26" spans="1:20" s="37" customFormat="1" ht="31.7" customHeight="1" x14ac:dyDescent="0.25">
      <c r="A26" s="88" t="s">
        <v>71</v>
      </c>
      <c r="B26" s="137" t="s">
        <v>292</v>
      </c>
      <c r="C26" s="136">
        <f>C27+C30+C33+C38+C36</f>
        <v>9989457586</v>
      </c>
      <c r="D26" s="136">
        <f t="shared" ref="D26:F26" si="1">D27+D30+D33+D38+D36</f>
        <v>9989457586</v>
      </c>
      <c r="E26" s="136">
        <f t="shared" si="1"/>
        <v>16215443586</v>
      </c>
      <c r="F26" s="136">
        <f t="shared" si="1"/>
        <v>16215443586</v>
      </c>
      <c r="G26" s="224">
        <f>E26/C26*100</f>
        <v>162.32556619215822</v>
      </c>
      <c r="H26" s="224">
        <f>E26/D26*100</f>
        <v>162.32556619215822</v>
      </c>
      <c r="I26" s="312">
        <f>E26+609748814</f>
        <v>16825192400</v>
      </c>
      <c r="J26" s="312"/>
      <c r="K26" s="312"/>
      <c r="L26" s="43"/>
      <c r="M26" s="71"/>
      <c r="N26" s="74"/>
      <c r="P26" s="70"/>
      <c r="Q26" s="71"/>
      <c r="R26" s="71"/>
      <c r="T26" s="27">
        <f>T39+T42+T45</f>
        <v>4335125600</v>
      </c>
    </row>
    <row r="27" spans="1:20" s="97" customFormat="1" ht="31.7" customHeight="1" x14ac:dyDescent="0.25">
      <c r="A27" s="135">
        <v>1</v>
      </c>
      <c r="B27" s="237" t="s">
        <v>276</v>
      </c>
      <c r="C27" s="136">
        <f>SUM(C28:C29)</f>
        <v>0</v>
      </c>
      <c r="D27" s="136">
        <f t="shared" ref="D27:F27" si="2">SUM(D28:D29)</f>
        <v>0</v>
      </c>
      <c r="E27" s="136">
        <f t="shared" si="2"/>
        <v>334450000</v>
      </c>
      <c r="F27" s="136">
        <f t="shared" si="2"/>
        <v>334450000</v>
      </c>
      <c r="G27" s="224"/>
      <c r="H27" s="224"/>
      <c r="I27" s="312"/>
      <c r="J27" s="312"/>
      <c r="K27" s="312"/>
      <c r="L27" s="129"/>
      <c r="M27" s="95"/>
      <c r="N27" s="96"/>
      <c r="P27" s="98"/>
      <c r="Q27" s="95"/>
      <c r="R27" s="95"/>
      <c r="T27" s="93"/>
    </row>
    <row r="28" spans="1:20" s="97" customFormat="1" ht="31.7" customHeight="1" x14ac:dyDescent="0.25">
      <c r="A28" s="149"/>
      <c r="B28" s="141" t="s">
        <v>277</v>
      </c>
      <c r="C28" s="91"/>
      <c r="D28" s="91"/>
      <c r="E28" s="91">
        <f>SUM(F28:F28)</f>
        <v>0</v>
      </c>
      <c r="F28" s="91"/>
      <c r="G28" s="238"/>
      <c r="H28" s="238"/>
      <c r="I28" s="317"/>
      <c r="J28" s="317"/>
      <c r="K28" s="317"/>
      <c r="L28" s="94"/>
      <c r="M28" s="95"/>
      <c r="N28" s="96"/>
      <c r="P28" s="98"/>
      <c r="Q28" s="95"/>
      <c r="R28" s="95"/>
      <c r="T28" s="93"/>
    </row>
    <row r="29" spans="1:20" s="97" customFormat="1" ht="31.7" customHeight="1" x14ac:dyDescent="0.25">
      <c r="A29" s="149"/>
      <c r="B29" s="141" t="s">
        <v>278</v>
      </c>
      <c r="C29" s="91"/>
      <c r="D29" s="91"/>
      <c r="E29" s="91">
        <f>SUM(F29:F29)</f>
        <v>334450000</v>
      </c>
      <c r="F29" s="91">
        <v>334450000</v>
      </c>
      <c r="G29" s="238"/>
      <c r="H29" s="238"/>
      <c r="I29" s="317"/>
      <c r="J29" s="317"/>
      <c r="K29" s="317"/>
      <c r="L29" s="94"/>
      <c r="M29" s="95"/>
      <c r="N29" s="96"/>
      <c r="P29" s="98"/>
      <c r="Q29" s="95"/>
      <c r="R29" s="95"/>
      <c r="T29" s="93"/>
    </row>
    <row r="30" spans="1:20" s="97" customFormat="1" ht="31.7" customHeight="1" x14ac:dyDescent="0.25">
      <c r="A30" s="135">
        <v>2</v>
      </c>
      <c r="B30" s="140" t="s">
        <v>279</v>
      </c>
      <c r="C30" s="136">
        <f>SUM(C31:C32)</f>
        <v>1736398000</v>
      </c>
      <c r="D30" s="136">
        <f t="shared" ref="D30:F30" si="3">SUM(D31:D32)</f>
        <v>1736398000</v>
      </c>
      <c r="E30" s="136">
        <f t="shared" si="3"/>
        <v>1736398000</v>
      </c>
      <c r="F30" s="136">
        <f t="shared" si="3"/>
        <v>1736398000</v>
      </c>
      <c r="G30" s="224">
        <f t="shared" ref="G30:G35" si="4">E30/C30*100</f>
        <v>100</v>
      </c>
      <c r="H30" s="224">
        <f t="shared" ref="H30:H35" si="5">E30/D30*100</f>
        <v>100</v>
      </c>
      <c r="I30" s="312"/>
      <c r="J30" s="312"/>
      <c r="K30" s="312"/>
      <c r="L30" s="94"/>
      <c r="M30" s="95"/>
      <c r="N30" s="96"/>
      <c r="P30" s="98"/>
      <c r="Q30" s="95"/>
      <c r="R30" s="95"/>
      <c r="T30" s="93"/>
    </row>
    <row r="31" spans="1:20" s="105" customFormat="1" ht="31.7" customHeight="1" x14ac:dyDescent="0.25">
      <c r="A31" s="149"/>
      <c r="B31" s="141" t="s">
        <v>277</v>
      </c>
      <c r="C31" s="147"/>
      <c r="D31" s="147"/>
      <c r="E31" s="148">
        <f>SUM(F31:F31)</f>
        <v>0</v>
      </c>
      <c r="F31" s="147"/>
      <c r="G31" s="238"/>
      <c r="H31" s="238"/>
      <c r="I31" s="317"/>
      <c r="J31" s="317"/>
      <c r="K31" s="317"/>
      <c r="L31" s="102"/>
      <c r="M31" s="103"/>
      <c r="N31" s="104"/>
      <c r="P31" s="106"/>
      <c r="Q31" s="103"/>
      <c r="R31" s="103"/>
      <c r="T31" s="101"/>
    </row>
    <row r="32" spans="1:20" s="105" customFormat="1" ht="31.7" customHeight="1" x14ac:dyDescent="0.25">
      <c r="A32" s="149"/>
      <c r="B32" s="141" t="s">
        <v>278</v>
      </c>
      <c r="C32" s="232">
        <f>272600000+1500000000-36202000</f>
        <v>1736398000</v>
      </c>
      <c r="D32" s="232">
        <f>C32</f>
        <v>1736398000</v>
      </c>
      <c r="E32" s="233">
        <f>SUM(F32:F32)</f>
        <v>1736398000</v>
      </c>
      <c r="F32" s="232">
        <v>1736398000</v>
      </c>
      <c r="G32" s="230">
        <f t="shared" si="4"/>
        <v>100</v>
      </c>
      <c r="H32" s="230">
        <f t="shared" si="5"/>
        <v>100</v>
      </c>
      <c r="I32" s="318"/>
      <c r="J32" s="318"/>
      <c r="K32" s="318"/>
      <c r="L32" s="102"/>
      <c r="M32" s="103"/>
      <c r="N32" s="104"/>
      <c r="P32" s="106"/>
      <c r="Q32" s="103"/>
      <c r="R32" s="103"/>
      <c r="T32" s="101"/>
    </row>
    <row r="33" spans="1:21" s="97" customFormat="1" ht="31.7" customHeight="1" x14ac:dyDescent="0.25">
      <c r="A33" s="135">
        <v>3</v>
      </c>
      <c r="B33" s="140" t="s">
        <v>280</v>
      </c>
      <c r="C33" s="136">
        <f>SUM(C34:C35)</f>
        <v>8253059586</v>
      </c>
      <c r="D33" s="136">
        <f t="shared" ref="D33:F33" si="6">SUM(D34:D35)</f>
        <v>8253059586</v>
      </c>
      <c r="E33" s="136">
        <f t="shared" si="6"/>
        <v>14144595586</v>
      </c>
      <c r="F33" s="136">
        <f t="shared" si="6"/>
        <v>14144595586</v>
      </c>
      <c r="G33" s="224">
        <f t="shared" si="4"/>
        <v>171.38608341073959</v>
      </c>
      <c r="H33" s="224">
        <f t="shared" si="5"/>
        <v>171.38608341073959</v>
      </c>
      <c r="I33" s="312">
        <f>E33+609748814</f>
        <v>14754344400</v>
      </c>
      <c r="J33" s="312"/>
      <c r="K33" s="312"/>
      <c r="L33" s="94"/>
      <c r="M33" s="95"/>
      <c r="N33" s="96"/>
      <c r="P33" s="98"/>
      <c r="Q33" s="95"/>
      <c r="R33" s="95"/>
      <c r="T33" s="93"/>
    </row>
    <row r="34" spans="1:21" s="105" customFormat="1" ht="31.7" customHeight="1" x14ac:dyDescent="0.25">
      <c r="A34" s="149"/>
      <c r="B34" s="141" t="s">
        <v>277</v>
      </c>
      <c r="C34" s="147"/>
      <c r="D34" s="147"/>
      <c r="E34" s="148">
        <f>SUM(F34:F34)</f>
        <v>0</v>
      </c>
      <c r="F34" s="147"/>
      <c r="G34" s="238"/>
      <c r="H34" s="238"/>
      <c r="I34" s="317"/>
      <c r="J34" s="317"/>
      <c r="K34" s="317"/>
      <c r="L34" s="102"/>
      <c r="M34" s="103"/>
      <c r="N34" s="104"/>
      <c r="P34" s="106"/>
      <c r="Q34" s="103"/>
      <c r="R34" s="103"/>
      <c r="T34" s="101"/>
    </row>
    <row r="35" spans="1:21" s="105" customFormat="1" ht="31.7" customHeight="1" x14ac:dyDescent="0.25">
      <c r="A35" s="149"/>
      <c r="B35" s="141" t="s">
        <v>278</v>
      </c>
      <c r="C35" s="147">
        <f>100000000+2485000000+5671431400-3371814</f>
        <v>8253059586</v>
      </c>
      <c r="D35" s="147">
        <f>C35</f>
        <v>8253059586</v>
      </c>
      <c r="E35" s="148">
        <f>SUM(F35:F35)</f>
        <v>14144595586</v>
      </c>
      <c r="F35" s="147">
        <v>14144595586</v>
      </c>
      <c r="G35" s="238">
        <f t="shared" si="4"/>
        <v>171.38608341073959</v>
      </c>
      <c r="H35" s="238">
        <f t="shared" si="5"/>
        <v>171.38608341073959</v>
      </c>
      <c r="I35" s="317"/>
      <c r="J35" s="317"/>
      <c r="K35" s="317"/>
      <c r="L35" s="102"/>
      <c r="M35" s="103"/>
      <c r="N35" s="104"/>
      <c r="P35" s="106"/>
      <c r="Q35" s="103"/>
      <c r="R35" s="103"/>
      <c r="T35" s="101"/>
    </row>
    <row r="36" spans="1:21" s="97" customFormat="1" ht="24" customHeight="1" x14ac:dyDescent="0.25">
      <c r="A36" s="135">
        <v>4</v>
      </c>
      <c r="B36" s="239" t="s">
        <v>293</v>
      </c>
      <c r="C36" s="91">
        <f>C37</f>
        <v>0</v>
      </c>
      <c r="D36" s="91">
        <f t="shared" ref="D36:F36" si="7">D37</f>
        <v>0</v>
      </c>
      <c r="E36" s="91">
        <f t="shared" si="7"/>
        <v>0</v>
      </c>
      <c r="F36" s="91">
        <f t="shared" si="7"/>
        <v>0</v>
      </c>
      <c r="G36" s="238"/>
      <c r="H36" s="238"/>
      <c r="I36" s="317"/>
      <c r="J36" s="317"/>
      <c r="K36" s="317"/>
      <c r="L36" s="94"/>
      <c r="M36" s="95">
        <f>M38-1491000000</f>
        <v>360033296028</v>
      </c>
      <c r="N36" s="96">
        <f>M36-'[1]B61-TT342'!C118</f>
        <v>427790698</v>
      </c>
      <c r="P36" s="98"/>
      <c r="Q36" s="95"/>
      <c r="R36" s="95"/>
      <c r="T36" s="93"/>
    </row>
    <row r="37" spans="1:21" s="105" customFormat="1" ht="24" customHeight="1" x14ac:dyDescent="0.25">
      <c r="A37" s="149"/>
      <c r="B37" s="141" t="s">
        <v>278</v>
      </c>
      <c r="C37" s="147"/>
      <c r="D37" s="147"/>
      <c r="E37" s="148"/>
      <c r="F37" s="147"/>
      <c r="G37" s="238"/>
      <c r="H37" s="238"/>
      <c r="I37" s="317"/>
      <c r="J37" s="317"/>
      <c r="K37" s="317"/>
      <c r="L37" s="102"/>
      <c r="M37" s="103"/>
      <c r="N37" s="104">
        <f>C8-M38</f>
        <v>-2763352491</v>
      </c>
      <c r="P37" s="106"/>
      <c r="Q37" s="103"/>
      <c r="R37" s="103"/>
      <c r="T37" s="101"/>
    </row>
    <row r="38" spans="1:21" s="97" customFormat="1" ht="24" customHeight="1" x14ac:dyDescent="0.25">
      <c r="A38" s="135">
        <v>5</v>
      </c>
      <c r="B38" s="140" t="s">
        <v>291</v>
      </c>
      <c r="C38" s="91"/>
      <c r="D38" s="91"/>
      <c r="E38" s="136"/>
      <c r="F38" s="91"/>
      <c r="G38" s="238"/>
      <c r="H38" s="238"/>
      <c r="I38" s="317"/>
      <c r="J38" s="317"/>
      <c r="K38" s="317"/>
      <c r="L38" s="94"/>
      <c r="M38" s="319">
        <f>SUM(M39:M63)</f>
        <v>361524296028</v>
      </c>
      <c r="N38" s="319">
        <f>SUM(N39:N50)</f>
        <v>0</v>
      </c>
      <c r="P38" s="98"/>
      <c r="Q38" s="95"/>
      <c r="R38" s="95"/>
      <c r="T38" s="93"/>
    </row>
    <row r="39" spans="1:21" s="37" customFormat="1" ht="30" customHeight="1" x14ac:dyDescent="0.25">
      <c r="A39" s="88" t="s">
        <v>89</v>
      </c>
      <c r="B39" s="137" t="s">
        <v>159</v>
      </c>
      <c r="C39" s="225">
        <f>SUM(C40:C53)</f>
        <v>348771485951</v>
      </c>
      <c r="D39" s="225">
        <f>SUM(D40:D53)</f>
        <v>348771485951</v>
      </c>
      <c r="E39" s="136">
        <f t="shared" ref="E39:E52" si="8">SUM(F39:F39)</f>
        <v>339147506168</v>
      </c>
      <c r="F39" s="136">
        <f>SUM(F40:F52)</f>
        <v>339147506168</v>
      </c>
      <c r="G39" s="224">
        <f>E39/C39*100</f>
        <v>97.240605906541305</v>
      </c>
      <c r="H39" s="224">
        <f>E39/D39*100</f>
        <v>97.240605906541305</v>
      </c>
      <c r="I39" s="312">
        <v>355362949754</v>
      </c>
      <c r="J39" s="312">
        <f>I39-E39</f>
        <v>16215443586</v>
      </c>
      <c r="K39" s="312"/>
      <c r="L39" s="43"/>
      <c r="M39" s="320">
        <v>35707970000</v>
      </c>
      <c r="N39" s="110" t="s">
        <v>334</v>
      </c>
      <c r="Q39" s="71"/>
      <c r="R39" s="71"/>
      <c r="S39" s="74"/>
      <c r="T39" s="26">
        <f>SUM(U39:W39)</f>
        <v>3265463600</v>
      </c>
      <c r="U39" s="37">
        <v>3265463600</v>
      </c>
    </row>
    <row r="40" spans="1:21" s="77" customFormat="1" ht="30" customHeight="1" x14ac:dyDescent="0.25">
      <c r="A40" s="135" t="s">
        <v>109</v>
      </c>
      <c r="B40" s="140" t="s">
        <v>139</v>
      </c>
      <c r="C40" s="642">
        <f>4104250000+302000000+3616640000+57000000-173413367-57000000</f>
        <v>7849476633</v>
      </c>
      <c r="D40" s="642">
        <f>C40</f>
        <v>7849476633</v>
      </c>
      <c r="E40" s="225">
        <f t="shared" si="8"/>
        <v>4379845869</v>
      </c>
      <c r="F40" s="228">
        <v>4379845869</v>
      </c>
      <c r="G40" s="230">
        <f>(E40+E41)/C40*100</f>
        <v>102.57860616017456</v>
      </c>
      <c r="H40" s="230">
        <f>(E40+E41)/D40*100</f>
        <v>102.57860616017456</v>
      </c>
      <c r="I40" s="318"/>
      <c r="J40" s="318"/>
      <c r="K40" s="318"/>
      <c r="L40" s="43"/>
      <c r="M40" s="321">
        <v>28214000000</v>
      </c>
      <c r="N40" s="321" t="s">
        <v>335</v>
      </c>
      <c r="P40" s="76"/>
      <c r="Q40" s="78"/>
      <c r="R40" s="78"/>
      <c r="S40" s="79"/>
      <c r="T40" s="75"/>
    </row>
    <row r="41" spans="1:21" s="77" customFormat="1" ht="30" customHeight="1" x14ac:dyDescent="0.25">
      <c r="A41" s="135" t="s">
        <v>111</v>
      </c>
      <c r="B41" s="140" t="s">
        <v>140</v>
      </c>
      <c r="C41" s="643"/>
      <c r="D41" s="643"/>
      <c r="E41" s="225">
        <f t="shared" si="8"/>
        <v>3672037852</v>
      </c>
      <c r="F41" s="228">
        <v>3672037852</v>
      </c>
      <c r="G41" s="228"/>
      <c r="H41" s="228"/>
      <c r="I41" s="318"/>
      <c r="J41" s="315"/>
      <c r="K41" s="315"/>
      <c r="L41" s="43"/>
      <c r="M41" s="321">
        <v>71401710000</v>
      </c>
      <c r="N41" s="321" t="s">
        <v>336</v>
      </c>
      <c r="Q41" s="78"/>
      <c r="R41" s="78"/>
      <c r="S41" s="79"/>
      <c r="T41" s="75"/>
    </row>
    <row r="42" spans="1:21" s="37" customFormat="1" ht="30" customHeight="1" x14ac:dyDescent="0.25">
      <c r="A42" s="135" t="s">
        <v>275</v>
      </c>
      <c r="B42" s="140" t="s">
        <v>141</v>
      </c>
      <c r="C42" s="228">
        <f>92000000+1154000000+71401710000+585426873+67009878397+963947030-846224000-630242000-509693858-275381080</f>
        <v>138945421362</v>
      </c>
      <c r="D42" s="228">
        <f>C42</f>
        <v>138945421362</v>
      </c>
      <c r="E42" s="225">
        <f t="shared" si="8"/>
        <v>138969609362</v>
      </c>
      <c r="F42" s="228">
        <v>138969609362</v>
      </c>
      <c r="G42" s="230">
        <f>E42/C42*100</f>
        <v>100.01740827424388</v>
      </c>
      <c r="H42" s="230">
        <f>E42/D42*100</f>
        <v>100.01740827424388</v>
      </c>
      <c r="I42" s="318"/>
      <c r="J42" s="318"/>
      <c r="K42" s="318"/>
      <c r="L42" s="43"/>
      <c r="M42" s="322">
        <v>45586828437</v>
      </c>
      <c r="N42" s="323" t="s">
        <v>337</v>
      </c>
      <c r="Q42" s="71"/>
      <c r="R42" s="71"/>
      <c r="T42" s="26">
        <f>SUM(U42:W42)</f>
        <v>769661000</v>
      </c>
      <c r="U42" s="37">
        <v>769661000</v>
      </c>
    </row>
    <row r="43" spans="1:21" s="77" customFormat="1" ht="30" customHeight="1" x14ac:dyDescent="0.25">
      <c r="A43" s="135" t="s">
        <v>160</v>
      </c>
      <c r="B43" s="140" t="s">
        <v>142</v>
      </c>
      <c r="C43" s="228"/>
      <c r="D43" s="228">
        <f t="shared" ref="D43:D52" si="9">C43</f>
        <v>0</v>
      </c>
      <c r="E43" s="225">
        <f t="shared" si="8"/>
        <v>0</v>
      </c>
      <c r="F43" s="228"/>
      <c r="G43" s="230"/>
      <c r="H43" s="230"/>
      <c r="I43" s="318"/>
      <c r="J43" s="318"/>
      <c r="K43" s="318"/>
      <c r="L43" s="43"/>
      <c r="M43" s="324">
        <v>2679658000</v>
      </c>
      <c r="N43" s="325" t="s">
        <v>338</v>
      </c>
      <c r="Q43" s="78"/>
      <c r="R43" s="78"/>
      <c r="T43" s="75"/>
    </row>
    <row r="44" spans="1:21" s="77" customFormat="1" ht="30" customHeight="1" x14ac:dyDescent="0.25">
      <c r="A44" s="135" t="s">
        <v>161</v>
      </c>
      <c r="B44" s="140" t="s">
        <v>143</v>
      </c>
      <c r="C44" s="228">
        <v>1721126700</v>
      </c>
      <c r="D44" s="228">
        <f t="shared" si="9"/>
        <v>1721126700</v>
      </c>
      <c r="E44" s="225">
        <f t="shared" si="8"/>
        <v>1617155450</v>
      </c>
      <c r="F44" s="228">
        <v>1617155450</v>
      </c>
      <c r="G44" s="230"/>
      <c r="H44" s="230"/>
      <c r="I44" s="318"/>
      <c r="J44" s="318"/>
      <c r="K44" s="318"/>
      <c r="L44" s="43"/>
      <c r="M44" s="324">
        <v>1500000000</v>
      </c>
      <c r="N44" s="325" t="s">
        <v>339</v>
      </c>
      <c r="Q44" s="78"/>
      <c r="R44" s="78"/>
      <c r="T44" s="75"/>
    </row>
    <row r="45" spans="1:21" s="37" customFormat="1" ht="30" customHeight="1" x14ac:dyDescent="0.25">
      <c r="A45" s="135" t="s">
        <v>162</v>
      </c>
      <c r="B45" s="140" t="s">
        <v>290</v>
      </c>
      <c r="C45" s="309">
        <f>82000000+3062000000+3806121683+272586600-417790000-38734813</f>
        <v>6766183470</v>
      </c>
      <c r="D45" s="228">
        <f t="shared" si="9"/>
        <v>6766183470</v>
      </c>
      <c r="E45" s="225">
        <f t="shared" si="8"/>
        <v>6721518789</v>
      </c>
      <c r="F45" s="228">
        <f>6566217219+155301570</f>
        <v>6721518789</v>
      </c>
      <c r="G45" s="230">
        <f>E45/C45*100</f>
        <v>99.339883684827129</v>
      </c>
      <c r="H45" s="230">
        <f>E45/D45*100</f>
        <v>99.339883684827129</v>
      </c>
      <c r="I45" s="318"/>
      <c r="J45" s="318"/>
      <c r="K45" s="318"/>
      <c r="L45" s="43"/>
      <c r="M45" s="320">
        <v>3014100000</v>
      </c>
      <c r="N45" s="326" t="s">
        <v>340</v>
      </c>
      <c r="Q45" s="71"/>
      <c r="R45" s="71"/>
      <c r="T45" s="26">
        <f>SUM(U45:W45)</f>
        <v>300001000</v>
      </c>
      <c r="U45" s="37">
        <v>300001000</v>
      </c>
    </row>
    <row r="46" spans="1:21" s="12" customFormat="1" ht="30" customHeight="1" x14ac:dyDescent="0.25">
      <c r="A46" s="135" t="s">
        <v>259</v>
      </c>
      <c r="B46" s="140" t="s">
        <v>150</v>
      </c>
      <c r="C46" s="228"/>
      <c r="D46" s="228">
        <f t="shared" si="9"/>
        <v>0</v>
      </c>
      <c r="E46" s="225">
        <f t="shared" si="8"/>
        <v>0</v>
      </c>
      <c r="F46" s="228"/>
      <c r="G46" s="228"/>
      <c r="H46" s="228"/>
      <c r="I46" s="318"/>
      <c r="J46" s="315"/>
      <c r="K46" s="315"/>
      <c r="L46" s="43"/>
      <c r="M46" s="320">
        <v>8841000000</v>
      </c>
      <c r="N46" s="40" t="s">
        <v>341</v>
      </c>
      <c r="P46" s="327"/>
      <c r="Q46" s="60"/>
      <c r="R46" s="60"/>
    </row>
    <row r="47" spans="1:21" s="12" customFormat="1" ht="30" customHeight="1" x14ac:dyDescent="0.25">
      <c r="A47" s="135" t="s">
        <v>260</v>
      </c>
      <c r="B47" s="140" t="s">
        <v>152</v>
      </c>
      <c r="C47" s="228">
        <f>664800000+2935000000+8841000000+5843000000+8135813900+349550000+176988315-491250000-588904000-239196000</f>
        <v>25626802215</v>
      </c>
      <c r="D47" s="228">
        <f t="shared" si="9"/>
        <v>25626802215</v>
      </c>
      <c r="E47" s="225">
        <f t="shared" si="8"/>
        <v>22033851715</v>
      </c>
      <c r="F47" s="228">
        <f>38112970301-334450000-85000000-2400000000-2654385949-1282419000-7586465637-1736398000</f>
        <v>22033851715</v>
      </c>
      <c r="G47" s="230">
        <f>E47/C47*100</f>
        <v>85.979715807472232</v>
      </c>
      <c r="H47" s="230">
        <f>E47/D47*100</f>
        <v>85.979715807472232</v>
      </c>
      <c r="I47" s="318"/>
      <c r="J47" s="318"/>
      <c r="K47" s="318"/>
      <c r="L47" s="43"/>
      <c r="M47" s="320">
        <v>5289669273</v>
      </c>
      <c r="N47" s="40" t="s">
        <v>342</v>
      </c>
      <c r="Q47" s="60"/>
      <c r="R47" s="60"/>
    </row>
    <row r="48" spans="1:21" s="12" customFormat="1" ht="30" customHeight="1" x14ac:dyDescent="0.25">
      <c r="A48" s="135" t="s">
        <v>163</v>
      </c>
      <c r="B48" s="140" t="s">
        <v>153</v>
      </c>
      <c r="C48" s="228">
        <f>27683550000+11705000000+45586828437+2679658000+4704242400+42726744922+1400000000+233064000+235872000-3249000-422604000</f>
        <v>136529106759</v>
      </c>
      <c r="D48" s="228">
        <f>C48</f>
        <v>136529106759</v>
      </c>
      <c r="E48" s="225">
        <f t="shared" si="8"/>
        <v>135136066819</v>
      </c>
      <c r="F48" s="228">
        <f>135272391819-136325000</f>
        <v>135136066819</v>
      </c>
      <c r="G48" s="230">
        <f>E48/C48*100</f>
        <v>98.979675489667571</v>
      </c>
      <c r="H48" s="230">
        <f>E48/D48*100</f>
        <v>98.979675489667571</v>
      </c>
      <c r="I48" s="318"/>
      <c r="J48" s="318"/>
      <c r="K48" s="318"/>
      <c r="L48" s="43"/>
      <c r="M48" s="320">
        <v>5843000000</v>
      </c>
      <c r="N48" s="40" t="s">
        <v>343</v>
      </c>
      <c r="Q48" s="60"/>
      <c r="R48" s="60"/>
    </row>
    <row r="49" spans="1:20" s="12" customFormat="1" ht="30" customHeight="1" x14ac:dyDescent="0.25">
      <c r="A49" s="135" t="s">
        <v>164</v>
      </c>
      <c r="B49" s="140" t="s">
        <v>155</v>
      </c>
      <c r="C49" s="228">
        <f>2307980000+2671000000+3014100000+14244724738+28400000+4207000000+458000000-10000000-55449650-119276</f>
        <v>26865635812</v>
      </c>
      <c r="D49" s="228">
        <f t="shared" si="9"/>
        <v>26865635812</v>
      </c>
      <c r="E49" s="225">
        <f t="shared" si="8"/>
        <v>26617420312</v>
      </c>
      <c r="F49" s="228">
        <v>26617420312</v>
      </c>
      <c r="G49" s="230">
        <f>E49/C49*100</f>
        <v>99.07608551780811</v>
      </c>
      <c r="H49" s="230">
        <f>E49/D49*100</f>
        <v>99.07608551780811</v>
      </c>
      <c r="I49" s="318"/>
      <c r="J49" s="318"/>
      <c r="K49" s="318"/>
      <c r="L49" s="43"/>
      <c r="M49" s="320">
        <v>145483955040</v>
      </c>
      <c r="N49" s="40" t="s">
        <v>344</v>
      </c>
      <c r="Q49" s="60"/>
      <c r="R49" s="60"/>
    </row>
    <row r="50" spans="1:20" s="12" customFormat="1" ht="30" customHeight="1" x14ac:dyDescent="0.25">
      <c r="A50" s="135" t="s">
        <v>165</v>
      </c>
      <c r="B50" s="140" t="s">
        <v>167</v>
      </c>
      <c r="C50" s="228">
        <f>1400000000-46684000</f>
        <v>1353316000</v>
      </c>
      <c r="D50" s="228">
        <f t="shared" si="9"/>
        <v>1353316000</v>
      </c>
      <c r="E50" s="225">
        <f t="shared" si="8"/>
        <v>0</v>
      </c>
      <c r="F50" s="228"/>
      <c r="G50" s="230">
        <f>E50/C50*100</f>
        <v>0</v>
      </c>
      <c r="H50" s="230">
        <f>E50/D50*100</f>
        <v>0</v>
      </c>
      <c r="I50" s="318"/>
      <c r="J50" s="318"/>
      <c r="K50" s="318"/>
      <c r="L50" s="43"/>
      <c r="M50" s="328">
        <v>1236533630</v>
      </c>
      <c r="N50" s="40" t="s">
        <v>345</v>
      </c>
      <c r="Q50" s="60"/>
      <c r="R50" s="60"/>
    </row>
    <row r="51" spans="1:20" s="12" customFormat="1" ht="30" customHeight="1" x14ac:dyDescent="0.25">
      <c r="A51" s="135" t="s">
        <v>166</v>
      </c>
      <c r="B51" s="140" t="s">
        <v>294</v>
      </c>
      <c r="C51" s="228"/>
      <c r="D51" s="228">
        <f t="shared" si="9"/>
        <v>0</v>
      </c>
      <c r="E51" s="225">
        <f t="shared" si="8"/>
        <v>0</v>
      </c>
      <c r="F51" s="228"/>
      <c r="G51" s="230"/>
      <c r="H51" s="230"/>
      <c r="I51" s="318"/>
      <c r="J51" s="318"/>
      <c r="K51" s="318"/>
      <c r="L51" s="43"/>
      <c r="M51" s="328">
        <v>1400000000</v>
      </c>
      <c r="N51" s="40" t="s">
        <v>346</v>
      </c>
      <c r="Q51" s="60"/>
      <c r="R51" s="60"/>
    </row>
    <row r="52" spans="1:20" s="12" customFormat="1" ht="30" customHeight="1" x14ac:dyDescent="0.25">
      <c r="A52" s="135" t="s">
        <v>244</v>
      </c>
      <c r="B52" s="140" t="s">
        <v>232</v>
      </c>
      <c r="C52" s="228">
        <f>673390000+2500000000-58973000</f>
        <v>3114417000</v>
      </c>
      <c r="D52" s="228">
        <f t="shared" si="9"/>
        <v>3114417000</v>
      </c>
      <c r="E52" s="225">
        <f t="shared" si="8"/>
        <v>0</v>
      </c>
      <c r="F52" s="228"/>
      <c r="G52" s="228"/>
      <c r="H52" s="228"/>
      <c r="I52" s="315"/>
      <c r="J52" s="315"/>
      <c r="K52" s="315"/>
      <c r="L52" s="43"/>
      <c r="M52" s="329">
        <v>233064000</v>
      </c>
      <c r="N52" s="40" t="s">
        <v>347</v>
      </c>
      <c r="Q52" s="60"/>
      <c r="R52" s="60"/>
    </row>
    <row r="53" spans="1:20" s="12" customFormat="1" ht="30" customHeight="1" x14ac:dyDescent="0.25">
      <c r="A53" s="135" t="s">
        <v>316</v>
      </c>
      <c r="B53" s="140" t="s">
        <v>317</v>
      </c>
      <c r="C53" s="228"/>
      <c r="D53" s="228"/>
      <c r="E53" s="225"/>
      <c r="F53" s="228"/>
      <c r="G53" s="228"/>
      <c r="H53" s="228"/>
      <c r="I53" s="315"/>
      <c r="J53" s="315"/>
      <c r="K53" s="315"/>
      <c r="L53" s="43"/>
      <c r="M53" s="329">
        <v>235872000</v>
      </c>
      <c r="N53" s="40" t="s">
        <v>348</v>
      </c>
      <c r="Q53" s="60"/>
      <c r="R53" s="60"/>
    </row>
    <row r="54" spans="1:20" s="12" customFormat="1" ht="30" customHeight="1" x14ac:dyDescent="0.25">
      <c r="A54" s="88" t="s">
        <v>99</v>
      </c>
      <c r="B54" s="137" t="s">
        <v>349</v>
      </c>
      <c r="C54" s="136"/>
      <c r="D54" s="225"/>
      <c r="E54" s="136">
        <f>SUM(F54:F54)</f>
        <v>0</v>
      </c>
      <c r="F54" s="136"/>
      <c r="G54" s="136"/>
      <c r="H54" s="136"/>
      <c r="I54" s="311"/>
      <c r="J54" s="311"/>
      <c r="K54" s="311"/>
      <c r="L54" s="43"/>
      <c r="M54" s="329"/>
      <c r="N54" s="40" t="s">
        <v>350</v>
      </c>
      <c r="O54" s="12" t="s">
        <v>351</v>
      </c>
      <c r="Q54" s="60"/>
      <c r="R54" s="60"/>
    </row>
    <row r="55" spans="1:20" s="276" customFormat="1" ht="30" customHeight="1" x14ac:dyDescent="0.25">
      <c r="A55" s="273" t="s">
        <v>101</v>
      </c>
      <c r="B55" s="274" t="s">
        <v>261</v>
      </c>
      <c r="C55" s="275"/>
      <c r="D55" s="231"/>
      <c r="E55" s="275">
        <f>SUM(F55:F55)</f>
        <v>0</v>
      </c>
      <c r="F55" s="275"/>
      <c r="G55" s="275"/>
      <c r="H55" s="275"/>
      <c r="I55" s="330"/>
      <c r="J55" s="330"/>
      <c r="K55" s="330"/>
      <c r="L55" s="94"/>
      <c r="M55" s="331">
        <v>28400000</v>
      </c>
      <c r="N55" s="332" t="s">
        <v>352</v>
      </c>
      <c r="Q55" s="278"/>
      <c r="R55" s="278"/>
      <c r="T55" s="277">
        <f>F55-13781074226</f>
        <v>-13781074226</v>
      </c>
    </row>
    <row r="56" spans="1:20" s="12" customFormat="1" ht="30" customHeight="1" x14ac:dyDescent="0.25">
      <c r="A56" s="88" t="s">
        <v>105</v>
      </c>
      <c r="B56" s="137" t="s">
        <v>168</v>
      </c>
      <c r="C56" s="91"/>
      <c r="D56" s="228"/>
      <c r="E56" s="136">
        <f>SUM(F56:F56)</f>
        <v>5281475446</v>
      </c>
      <c r="F56" s="136">
        <v>5281475446</v>
      </c>
      <c r="G56" s="224"/>
      <c r="H56" s="224"/>
      <c r="I56" s="312"/>
      <c r="J56" s="312"/>
      <c r="K56" s="312"/>
      <c r="L56" s="43"/>
      <c r="M56" s="329">
        <v>349550000</v>
      </c>
      <c r="N56" s="40" t="s">
        <v>353</v>
      </c>
      <c r="Q56" s="60"/>
      <c r="R56" s="60"/>
    </row>
    <row r="57" spans="1:20" s="12" customFormat="1" ht="30" customHeight="1" x14ac:dyDescent="0.25">
      <c r="A57" s="88" t="s">
        <v>22</v>
      </c>
      <c r="B57" s="240" t="s">
        <v>169</v>
      </c>
      <c r="C57" s="136">
        <f>SUM(C58:C59)</f>
        <v>0</v>
      </c>
      <c r="D57" s="225">
        <f t="shared" ref="D57:H57" si="10">SUM(D58:D59)</f>
        <v>0</v>
      </c>
      <c r="E57" s="136">
        <f>SUM(F57:F57)</f>
        <v>0</v>
      </c>
      <c r="F57" s="136">
        <f t="shared" si="10"/>
        <v>0</v>
      </c>
      <c r="G57" s="136">
        <f t="shared" si="10"/>
        <v>0</v>
      </c>
      <c r="H57" s="136">
        <f t="shared" si="10"/>
        <v>0</v>
      </c>
      <c r="I57" s="311"/>
      <c r="J57" s="311"/>
      <c r="K57" s="311"/>
      <c r="L57" s="43"/>
      <c r="M57" s="329">
        <v>176988315</v>
      </c>
      <c r="N57" s="40" t="s">
        <v>354</v>
      </c>
      <c r="Q57" s="60"/>
      <c r="R57" s="60"/>
    </row>
    <row r="58" spans="1:20" s="12" customFormat="1" ht="30" customHeight="1" x14ac:dyDescent="0.25">
      <c r="A58" s="135">
        <v>1</v>
      </c>
      <c r="B58" s="140" t="s">
        <v>170</v>
      </c>
      <c r="C58" s="91"/>
      <c r="D58" s="228"/>
      <c r="E58" s="136">
        <f>SUM(F58:F58)</f>
        <v>0</v>
      </c>
      <c r="F58" s="91"/>
      <c r="G58" s="91"/>
      <c r="H58" s="91"/>
      <c r="I58" s="316"/>
      <c r="J58" s="316"/>
      <c r="K58" s="316"/>
      <c r="L58" s="43"/>
      <c r="M58" s="329">
        <v>4207000000</v>
      </c>
      <c r="N58" s="40" t="s">
        <v>355</v>
      </c>
      <c r="Q58" s="60"/>
      <c r="R58" s="60"/>
    </row>
    <row r="59" spans="1:20" s="12" customFormat="1" ht="30" customHeight="1" x14ac:dyDescent="0.25">
      <c r="A59" s="135">
        <v>2</v>
      </c>
      <c r="B59" s="140" t="s">
        <v>126</v>
      </c>
      <c r="C59" s="91"/>
      <c r="D59" s="228"/>
      <c r="E59" s="136">
        <f>SUM(E60:E60)</f>
        <v>0</v>
      </c>
      <c r="F59" s="136">
        <f>SUM(F60:F60)</f>
        <v>0</v>
      </c>
      <c r="G59" s="91"/>
      <c r="H59" s="91"/>
      <c r="I59" s="316"/>
      <c r="J59" s="316"/>
      <c r="K59" s="316"/>
      <c r="L59" s="43"/>
      <c r="M59" s="329">
        <v>57000000</v>
      </c>
      <c r="N59" s="40" t="s">
        <v>356</v>
      </c>
      <c r="Q59" s="60"/>
      <c r="R59" s="60"/>
    </row>
    <row r="60" spans="1:20" s="37" customFormat="1" ht="30" customHeight="1" x14ac:dyDescent="0.25">
      <c r="A60" s="241"/>
      <c r="B60" s="141" t="s">
        <v>245</v>
      </c>
      <c r="C60" s="242"/>
      <c r="D60" s="243"/>
      <c r="E60" s="91">
        <f>SUM(F60:F60)</f>
        <v>0</v>
      </c>
      <c r="F60" s="242"/>
      <c r="G60" s="242"/>
      <c r="H60" s="242"/>
      <c r="I60" s="333"/>
      <c r="J60" s="333"/>
      <c r="K60" s="333"/>
      <c r="L60" s="43"/>
      <c r="M60" s="322">
        <v>1721126700</v>
      </c>
      <c r="N60" s="110" t="s">
        <v>357</v>
      </c>
      <c r="Q60" s="71"/>
      <c r="R60" s="71"/>
    </row>
    <row r="61" spans="1:20" s="12" customFormat="1" ht="30" customHeight="1" x14ac:dyDescent="0.25">
      <c r="A61" s="88" t="s">
        <v>120</v>
      </c>
      <c r="B61" s="137" t="s">
        <v>171</v>
      </c>
      <c r="C61" s="91"/>
      <c r="D61" s="228"/>
      <c r="E61" s="136">
        <f>SUM(F61:F61)</f>
        <v>541588500</v>
      </c>
      <c r="F61" s="136">
        <f>541588500</f>
        <v>541588500</v>
      </c>
      <c r="G61" s="91"/>
      <c r="H61" s="91"/>
      <c r="I61" s="316"/>
      <c r="J61" s="316"/>
      <c r="K61" s="316"/>
      <c r="L61" s="43"/>
      <c r="M61" s="329">
        <v>458000000</v>
      </c>
      <c r="N61" s="40" t="s">
        <v>358</v>
      </c>
      <c r="Q61" s="60"/>
      <c r="R61" s="60"/>
    </row>
    <row r="62" spans="1:20" s="12" customFormat="1" ht="30" customHeight="1" x14ac:dyDescent="0.25">
      <c r="A62" s="135"/>
      <c r="B62" s="88" t="s">
        <v>172</v>
      </c>
      <c r="C62" s="136">
        <f>C61+C57+C8</f>
        <v>358760943537</v>
      </c>
      <c r="D62" s="225">
        <f>D61+D57+D8</f>
        <v>358760943537</v>
      </c>
      <c r="E62" s="136">
        <f>SUM(F62:F62)</f>
        <v>361186013700</v>
      </c>
      <c r="F62" s="136">
        <f>F61+F57+F8</f>
        <v>361186013700</v>
      </c>
      <c r="G62" s="224">
        <f>E62/C62*100</f>
        <v>100.6759571259601</v>
      </c>
      <c r="H62" s="224">
        <f>E62/D62*100</f>
        <v>100.6759571259601</v>
      </c>
      <c r="I62" s="312">
        <v>355904538254</v>
      </c>
      <c r="J62" s="312">
        <f>E62-I62</f>
        <v>5281475446</v>
      </c>
      <c r="K62" s="312"/>
      <c r="L62" s="61"/>
      <c r="M62" s="112">
        <v>-491250000</v>
      </c>
      <c r="N62" s="128" t="s">
        <v>359</v>
      </c>
      <c r="O62" s="73"/>
      <c r="Q62" s="72"/>
      <c r="R62" s="72"/>
    </row>
    <row r="63" spans="1:20" s="303" customFormat="1" ht="18" customHeight="1" x14ac:dyDescent="0.25">
      <c r="A63" s="308"/>
      <c r="B63" s="308"/>
      <c r="C63" s="632"/>
      <c r="D63" s="632"/>
      <c r="E63" s="632"/>
      <c r="F63" s="632"/>
      <c r="G63" s="632"/>
      <c r="H63" s="632"/>
      <c r="I63" s="308"/>
      <c r="J63" s="308"/>
      <c r="K63" s="308"/>
      <c r="L63" s="308"/>
      <c r="M63" s="112">
        <v>-1649879367</v>
      </c>
      <c r="N63" s="302" t="s">
        <v>360</v>
      </c>
      <c r="Q63" s="304"/>
      <c r="R63" s="304"/>
    </row>
    <row r="64" spans="1:20" ht="18" hidden="1" customHeight="1" x14ac:dyDescent="0.25">
      <c r="B64" s="310"/>
      <c r="C64" s="630"/>
      <c r="D64" s="630"/>
      <c r="E64" s="630"/>
      <c r="F64" s="631"/>
      <c r="G64" s="631"/>
      <c r="H64" s="631"/>
      <c r="I64" s="305"/>
      <c r="J64" s="305"/>
      <c r="K64" s="305"/>
    </row>
    <row r="65" spans="1:10" ht="18" hidden="1" customHeight="1" x14ac:dyDescent="0.25">
      <c r="A65" s="619" t="s">
        <v>364</v>
      </c>
      <c r="B65" s="619"/>
      <c r="C65" s="619" t="s">
        <v>365</v>
      </c>
      <c r="D65" s="619"/>
      <c r="E65" s="622" t="s">
        <v>366</v>
      </c>
      <c r="F65" s="622"/>
      <c r="G65" s="622"/>
      <c r="H65" s="622"/>
      <c r="I65" s="342"/>
      <c r="J65" s="342"/>
    </row>
    <row r="66" spans="1:10" ht="29.45" hidden="1" customHeight="1" x14ac:dyDescent="0.25">
      <c r="A66" s="646" t="s">
        <v>386</v>
      </c>
      <c r="B66" s="646"/>
      <c r="C66" s="613" t="s">
        <v>361</v>
      </c>
      <c r="D66" s="613"/>
      <c r="E66" s="623" t="s">
        <v>367</v>
      </c>
      <c r="F66" s="623"/>
      <c r="G66" s="623"/>
      <c r="H66" s="623"/>
      <c r="I66" s="343"/>
      <c r="J66" s="343"/>
    </row>
    <row r="67" spans="1:10" ht="18" hidden="1" customHeight="1" x14ac:dyDescent="0.25">
      <c r="A67" s="175"/>
      <c r="B67" s="153"/>
      <c r="C67" s="600" t="s">
        <v>220</v>
      </c>
      <c r="D67" s="600"/>
      <c r="E67" s="618" t="s">
        <v>363</v>
      </c>
      <c r="F67" s="618"/>
      <c r="G67" s="618"/>
      <c r="H67" s="618"/>
      <c r="I67" s="344"/>
      <c r="J67" s="344"/>
    </row>
    <row r="68" spans="1:10" ht="18" hidden="1" customHeight="1" x14ac:dyDescent="0.25">
      <c r="A68" s="151"/>
      <c r="B68" s="153"/>
      <c r="C68" s="153"/>
      <c r="D68" s="600"/>
      <c r="E68" s="600"/>
      <c r="F68" s="154"/>
      <c r="G68" s="344"/>
      <c r="H68" s="344"/>
      <c r="I68" s="344"/>
      <c r="J68" s="344"/>
    </row>
    <row r="69" spans="1:10" ht="27" hidden="1" customHeight="1" x14ac:dyDescent="0.25">
      <c r="A69" s="151"/>
      <c r="B69" s="153"/>
      <c r="C69" s="153"/>
      <c r="D69" s="153"/>
      <c r="E69" s="153"/>
      <c r="F69" s="151"/>
      <c r="G69" s="155"/>
      <c r="H69" s="155"/>
      <c r="I69" s="155"/>
      <c r="J69" s="155"/>
    </row>
    <row r="70" spans="1:10" hidden="1" x14ac:dyDescent="0.25">
      <c r="A70" s="151"/>
      <c r="B70" s="617"/>
      <c r="C70" s="617"/>
      <c r="D70" s="153"/>
      <c r="E70" s="153"/>
      <c r="F70" s="151"/>
      <c r="G70" s="155"/>
      <c r="H70" s="155"/>
      <c r="I70" s="155"/>
      <c r="J70" s="155"/>
    </row>
    <row r="71" spans="1:10" hidden="1" x14ac:dyDescent="0.25">
      <c r="A71" s="151"/>
      <c r="B71" s="158"/>
      <c r="C71" s="153"/>
      <c r="D71" s="153"/>
      <c r="E71" s="153"/>
      <c r="F71" s="151"/>
      <c r="G71" s="155"/>
      <c r="H71" s="155"/>
      <c r="I71" s="155"/>
      <c r="J71" s="155"/>
    </row>
    <row r="72" spans="1:10" hidden="1" x14ac:dyDescent="0.25">
      <c r="A72" s="154"/>
      <c r="B72" s="153"/>
      <c r="C72" s="153"/>
      <c r="D72" s="153"/>
      <c r="E72" s="153"/>
      <c r="F72" s="151"/>
      <c r="G72" s="155"/>
      <c r="H72" s="155"/>
      <c r="I72" s="155"/>
      <c r="J72" s="155"/>
    </row>
    <row r="73" spans="1:10" hidden="1" x14ac:dyDescent="0.25">
      <c r="A73" s="151"/>
      <c r="B73" s="153"/>
      <c r="C73" s="153"/>
      <c r="D73" s="153"/>
      <c r="E73" s="153"/>
      <c r="F73" s="151"/>
      <c r="G73" s="155"/>
      <c r="H73" s="155"/>
      <c r="I73" s="155"/>
      <c r="J73" s="155"/>
    </row>
    <row r="74" spans="1:10" ht="15.75" hidden="1" x14ac:dyDescent="0.25">
      <c r="A74" s="176"/>
      <c r="B74" s="177"/>
      <c r="C74" s="620" t="s">
        <v>362</v>
      </c>
      <c r="D74" s="620"/>
      <c r="E74" s="615" t="s">
        <v>330</v>
      </c>
      <c r="F74" s="615"/>
      <c r="G74" s="615"/>
      <c r="H74" s="615"/>
      <c r="I74" s="345"/>
      <c r="J74" s="345"/>
    </row>
    <row r="75" spans="1:10" ht="24" hidden="1" customHeight="1" x14ac:dyDescent="0.25"/>
    <row r="76" spans="1:10" hidden="1" x14ac:dyDescent="0.25"/>
    <row r="77" spans="1:10" hidden="1" x14ac:dyDescent="0.25"/>
  </sheetData>
  <mergeCells count="27">
    <mergeCell ref="D68:E68"/>
    <mergeCell ref="B70:C70"/>
    <mergeCell ref="C74:D74"/>
    <mergeCell ref="E74:H74"/>
    <mergeCell ref="E65:H65"/>
    <mergeCell ref="E66:H66"/>
    <mergeCell ref="E67:H67"/>
    <mergeCell ref="A65:B65"/>
    <mergeCell ref="A66:B66"/>
    <mergeCell ref="C65:D65"/>
    <mergeCell ref="C66:D66"/>
    <mergeCell ref="C67:D67"/>
    <mergeCell ref="A1:G1"/>
    <mergeCell ref="C64:E64"/>
    <mergeCell ref="F64:H64"/>
    <mergeCell ref="C63:E63"/>
    <mergeCell ref="F63:H63"/>
    <mergeCell ref="A2:H2"/>
    <mergeCell ref="A3:H3"/>
    <mergeCell ref="G4:H4"/>
    <mergeCell ref="E5:F5"/>
    <mergeCell ref="G5:H5"/>
    <mergeCell ref="B5:B6"/>
    <mergeCell ref="C5:D5"/>
    <mergeCell ref="C40:C41"/>
    <mergeCell ref="D40:D41"/>
    <mergeCell ref="A5:A6"/>
  </mergeCells>
  <phoneticPr fontId="70" type="noConversion"/>
  <printOptions horizontalCentered="1"/>
  <pageMargins left="0.19685039370078741" right="0.19685039370078741" top="0.51181102362204722" bottom="0.43307086614173229" header="0.19685039370078741" footer="0.23622047244094491"/>
  <pageSetup paperSize="9" scale="70" orientation="portrait" verticalDpi="0"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7"/>
  <sheetViews>
    <sheetView workbookViewId="0">
      <selection sqref="A1:C1"/>
    </sheetView>
  </sheetViews>
  <sheetFormatPr defaultRowHeight="15" x14ac:dyDescent="0.25"/>
  <cols>
    <col min="1" max="1" width="8.42578125" customWidth="1"/>
    <col min="2" max="3" width="16.42578125" style="45" customWidth="1"/>
    <col min="4" max="4" width="12.5703125" customWidth="1"/>
    <col min="5" max="8" width="16.42578125" customWidth="1"/>
    <col min="9" max="9" width="22.42578125" customWidth="1"/>
    <col min="10" max="10" width="27.140625" customWidth="1"/>
  </cols>
  <sheetData>
    <row r="1" spans="1:12" ht="15.6" customHeight="1" x14ac:dyDescent="0.25">
      <c r="A1" s="648"/>
      <c r="B1" s="648"/>
      <c r="C1" s="648"/>
      <c r="D1" s="2"/>
      <c r="E1" s="2"/>
      <c r="F1" s="2"/>
      <c r="G1" s="650" t="s">
        <v>430</v>
      </c>
      <c r="H1" s="650"/>
      <c r="I1" s="400"/>
    </row>
    <row r="2" spans="1:12" ht="17.25" customHeight="1" x14ac:dyDescent="0.25">
      <c r="A2" s="649"/>
      <c r="B2" s="649"/>
      <c r="C2" s="649"/>
      <c r="D2" s="2"/>
      <c r="E2" s="2"/>
      <c r="F2" s="2"/>
      <c r="G2" s="2"/>
      <c r="H2" s="2"/>
    </row>
    <row r="3" spans="1:12" ht="18.75" x14ac:dyDescent="0.3">
      <c r="A3" s="601" t="s">
        <v>428</v>
      </c>
      <c r="B3" s="601"/>
      <c r="C3" s="601"/>
      <c r="D3" s="601"/>
      <c r="E3" s="601"/>
      <c r="F3" s="601"/>
      <c r="G3" s="601"/>
      <c r="H3" s="601"/>
    </row>
    <row r="4" spans="1:12" ht="18.75" x14ac:dyDescent="0.3">
      <c r="A4" s="602" t="str">
        <f>'[2]B69-TT342'!A4:I4</f>
        <v>(Kèm theo Báo cáo số /BC-UBND ngày  19 tháng 4 năm 2026 của UBND xã Quỳnh Nhai)</v>
      </c>
      <c r="B4" s="602"/>
      <c r="C4" s="602"/>
      <c r="D4" s="602"/>
      <c r="E4" s="602"/>
      <c r="F4" s="602"/>
      <c r="G4" s="602"/>
      <c r="H4" s="602"/>
    </row>
    <row r="5" spans="1:12" ht="34.5" customHeight="1" x14ac:dyDescent="0.25">
      <c r="B5" s="38"/>
      <c r="C5" s="38"/>
      <c r="D5" s="2"/>
      <c r="E5" s="2"/>
      <c r="F5" s="2"/>
      <c r="G5" s="2"/>
      <c r="H5" s="395"/>
    </row>
    <row r="6" spans="1:12" s="11" customFormat="1" ht="33" customHeight="1" x14ac:dyDescent="0.25">
      <c r="A6" s="9" t="s">
        <v>393</v>
      </c>
      <c r="B6" s="9" t="s">
        <v>394</v>
      </c>
      <c r="C6" s="9" t="s">
        <v>397</v>
      </c>
      <c r="D6" s="9" t="s">
        <v>398</v>
      </c>
      <c r="E6" s="9" t="s">
        <v>404</v>
      </c>
      <c r="F6" s="9" t="s">
        <v>405</v>
      </c>
      <c r="G6" s="9" t="s">
        <v>174</v>
      </c>
      <c r="H6" s="9" t="s">
        <v>176</v>
      </c>
    </row>
    <row r="7" spans="1:12" s="352" customFormat="1" ht="33" customHeight="1" x14ac:dyDescent="0.25">
      <c r="A7" s="351" t="s">
        <v>406</v>
      </c>
      <c r="B7" s="351"/>
      <c r="C7" s="351"/>
      <c r="D7" s="351"/>
      <c r="E7" s="386">
        <f>SUM(E8:E76)</f>
        <v>368167347556</v>
      </c>
      <c r="F7" s="386">
        <f t="shared" ref="F7:H7" si="0">SUM(F8:F76)</f>
        <v>326544841</v>
      </c>
      <c r="G7" s="386">
        <f t="shared" si="0"/>
        <v>6531712015</v>
      </c>
      <c r="H7" s="386">
        <f t="shared" si="0"/>
        <v>361309090700</v>
      </c>
      <c r="I7" s="379">
        <f>'60'!E8-'62'!E7</f>
        <v>0</v>
      </c>
      <c r="J7" s="379"/>
      <c r="K7" s="379"/>
      <c r="L7" s="379"/>
    </row>
    <row r="8" spans="1:12" s="352" customFormat="1" ht="21.75" customHeight="1" x14ac:dyDescent="0.25">
      <c r="A8" s="353">
        <v>1</v>
      </c>
      <c r="B8" s="374" t="s">
        <v>407</v>
      </c>
      <c r="C8" s="354">
        <v>2400</v>
      </c>
      <c r="D8" s="354">
        <v>2418</v>
      </c>
      <c r="E8" s="387">
        <f>SUM(F8:H8)</f>
        <v>630000</v>
      </c>
      <c r="F8" s="387">
        <v>630000</v>
      </c>
      <c r="G8" s="388">
        <v>0</v>
      </c>
      <c r="H8" s="389" t="s">
        <v>408</v>
      </c>
      <c r="I8" s="379"/>
      <c r="J8" s="379"/>
      <c r="K8" s="379"/>
      <c r="L8" s="379"/>
    </row>
    <row r="9" spans="1:12" s="352" customFormat="1" ht="21.75" customHeight="1" x14ac:dyDescent="0.25">
      <c r="A9" s="353"/>
      <c r="B9" s="373"/>
      <c r="C9" s="354">
        <v>2750</v>
      </c>
      <c r="D9" s="354">
        <v>2767</v>
      </c>
      <c r="E9" s="387">
        <f t="shared" ref="E9:E72" si="1">SUM(F9:H9)</f>
        <v>1997000</v>
      </c>
      <c r="F9" s="387">
        <v>1997000</v>
      </c>
      <c r="G9" s="388">
        <v>0</v>
      </c>
      <c r="H9" s="389" t="s">
        <v>408</v>
      </c>
      <c r="I9" s="379"/>
      <c r="J9" s="379"/>
      <c r="K9" s="379"/>
      <c r="L9" s="379"/>
    </row>
    <row r="10" spans="1:12" s="352" customFormat="1" ht="21.75" customHeight="1" x14ac:dyDescent="0.25">
      <c r="A10" s="353"/>
      <c r="B10" s="373"/>
      <c r="C10" s="354">
        <v>2800</v>
      </c>
      <c r="D10" s="354">
        <v>2827</v>
      </c>
      <c r="E10" s="387">
        <f t="shared" si="1"/>
        <v>169200000</v>
      </c>
      <c r="F10" s="387">
        <v>169200000</v>
      </c>
      <c r="G10" s="388">
        <v>0</v>
      </c>
      <c r="H10" s="389" t="s">
        <v>408</v>
      </c>
      <c r="I10" s="379"/>
      <c r="J10" s="379"/>
      <c r="K10" s="379"/>
      <c r="L10" s="379"/>
    </row>
    <row r="11" spans="1:12" s="352" customFormat="1" ht="21.75" customHeight="1" x14ac:dyDescent="0.25">
      <c r="A11" s="353"/>
      <c r="B11" s="373"/>
      <c r="C11" s="354">
        <v>2850</v>
      </c>
      <c r="D11" s="354">
        <v>2853</v>
      </c>
      <c r="E11" s="387">
        <f t="shared" si="1"/>
        <v>95715000</v>
      </c>
      <c r="F11" s="387">
        <v>95715000</v>
      </c>
      <c r="G11" s="388">
        <v>0</v>
      </c>
      <c r="H11" s="389" t="s">
        <v>408</v>
      </c>
      <c r="I11" s="379"/>
      <c r="J11" s="379"/>
      <c r="K11" s="379"/>
      <c r="L11" s="379"/>
    </row>
    <row r="12" spans="1:12" s="352" customFormat="1" ht="21.75" customHeight="1" x14ac:dyDescent="0.25">
      <c r="A12" s="353"/>
      <c r="B12" s="373"/>
      <c r="C12" s="354">
        <v>4900</v>
      </c>
      <c r="D12" s="354">
        <v>4949</v>
      </c>
      <c r="E12" s="387">
        <f t="shared" si="1"/>
        <v>26316</v>
      </c>
      <c r="F12" s="387">
        <v>26316</v>
      </c>
      <c r="G12" s="388">
        <v>0</v>
      </c>
      <c r="H12" s="389" t="s">
        <v>408</v>
      </c>
      <c r="I12" s="379"/>
      <c r="J12" s="379"/>
      <c r="K12" s="379"/>
      <c r="L12" s="379"/>
    </row>
    <row r="13" spans="1:12" s="352" customFormat="1" ht="21.75" customHeight="1" x14ac:dyDescent="0.25">
      <c r="A13" s="353">
        <v>2</v>
      </c>
      <c r="B13" s="374" t="s">
        <v>409</v>
      </c>
      <c r="C13" s="354">
        <v>1050</v>
      </c>
      <c r="D13" s="354">
        <v>1052</v>
      </c>
      <c r="E13" s="387">
        <f t="shared" si="1"/>
        <v>3139500</v>
      </c>
      <c r="F13" s="387">
        <v>0</v>
      </c>
      <c r="G13" s="387">
        <v>3139500</v>
      </c>
      <c r="H13" s="389" t="s">
        <v>408</v>
      </c>
      <c r="I13" s="379"/>
      <c r="J13" s="379"/>
      <c r="K13" s="379"/>
      <c r="L13" s="379"/>
    </row>
    <row r="14" spans="1:12" s="352" customFormat="1" ht="21.75" customHeight="1" x14ac:dyDescent="0.25">
      <c r="A14" s="353"/>
      <c r="B14" s="373">
        <v>423</v>
      </c>
      <c r="C14" s="354">
        <v>2850</v>
      </c>
      <c r="D14" s="354">
        <v>2853</v>
      </c>
      <c r="E14" s="387">
        <f t="shared" si="1"/>
        <v>630000</v>
      </c>
      <c r="F14" s="387">
        <v>0</v>
      </c>
      <c r="G14" s="388">
        <v>630000</v>
      </c>
      <c r="H14" s="389" t="s">
        <v>408</v>
      </c>
      <c r="I14" s="379"/>
      <c r="J14" s="379"/>
      <c r="K14" s="379"/>
      <c r="L14" s="379"/>
    </row>
    <row r="15" spans="1:12" s="352" customFormat="1" ht="21.75" customHeight="1" x14ac:dyDescent="0.25">
      <c r="A15" s="353"/>
      <c r="B15" s="373">
        <v>554</v>
      </c>
      <c r="C15" s="354">
        <v>1700</v>
      </c>
      <c r="D15" s="354">
        <v>1710</v>
      </c>
      <c r="E15" s="387">
        <f t="shared" si="1"/>
        <v>346145300</v>
      </c>
      <c r="F15" s="390" t="s">
        <v>408</v>
      </c>
      <c r="G15" s="387">
        <v>346145300</v>
      </c>
      <c r="H15" s="389" t="s">
        <v>408</v>
      </c>
      <c r="I15" s="379"/>
      <c r="J15" s="379"/>
      <c r="K15" s="379"/>
      <c r="L15" s="379"/>
    </row>
    <row r="16" spans="1:12" s="352" customFormat="1" ht="21.75" customHeight="1" x14ac:dyDescent="0.25">
      <c r="A16" s="353"/>
      <c r="B16" s="373">
        <v>557</v>
      </c>
      <c r="C16" s="354">
        <v>1000</v>
      </c>
      <c r="D16" s="354">
        <v>1001</v>
      </c>
      <c r="E16" s="387">
        <f t="shared" si="1"/>
        <v>-4633208</v>
      </c>
      <c r="F16" s="387">
        <v>0</v>
      </c>
      <c r="G16" s="388">
        <v>-4633208</v>
      </c>
      <c r="H16" s="389" t="s">
        <v>408</v>
      </c>
      <c r="I16" s="379"/>
      <c r="J16" s="379"/>
      <c r="K16" s="379"/>
      <c r="L16" s="379"/>
    </row>
    <row r="17" spans="1:12" s="352" customFormat="1" ht="21.75" customHeight="1" x14ac:dyDescent="0.25">
      <c r="A17" s="353"/>
      <c r="B17" s="373">
        <v>558</v>
      </c>
      <c r="C17" s="354">
        <v>2600</v>
      </c>
      <c r="D17" s="354">
        <v>2625</v>
      </c>
      <c r="E17" s="387">
        <f t="shared" si="1"/>
        <v>313500</v>
      </c>
      <c r="F17" s="387">
        <v>0</v>
      </c>
      <c r="G17" s="388">
        <v>219450</v>
      </c>
      <c r="H17" s="389">
        <v>94050</v>
      </c>
      <c r="I17" s="379"/>
      <c r="J17" s="379"/>
      <c r="K17" s="379"/>
      <c r="L17" s="379"/>
    </row>
    <row r="18" spans="1:12" s="352" customFormat="1" ht="21.75" customHeight="1" x14ac:dyDescent="0.25">
      <c r="A18" s="353"/>
      <c r="B18" s="373">
        <v>560</v>
      </c>
      <c r="C18" s="354">
        <v>4700</v>
      </c>
      <c r="D18" s="354">
        <v>4702</v>
      </c>
      <c r="E18" s="387">
        <f t="shared" si="1"/>
        <v>244700500</v>
      </c>
      <c r="F18" s="390" t="s">
        <v>408</v>
      </c>
      <c r="G18" s="387">
        <v>244700500</v>
      </c>
      <c r="H18" s="389" t="s">
        <v>408</v>
      </c>
      <c r="I18" s="379"/>
      <c r="J18" s="379"/>
      <c r="K18" s="379"/>
      <c r="L18" s="379"/>
    </row>
    <row r="19" spans="1:12" s="352" customFormat="1" ht="21.75" customHeight="1" x14ac:dyDescent="0.25">
      <c r="A19" s="355"/>
      <c r="B19" s="373"/>
      <c r="C19" s="356"/>
      <c r="D19" s="354">
        <v>4749</v>
      </c>
      <c r="E19" s="387">
        <f t="shared" si="1"/>
        <v>296888000</v>
      </c>
      <c r="F19" s="387">
        <v>0</v>
      </c>
      <c r="G19" s="387">
        <v>296888000</v>
      </c>
      <c r="H19" s="389" t="s">
        <v>408</v>
      </c>
      <c r="I19" s="379"/>
      <c r="J19" s="379"/>
      <c r="K19" s="379"/>
      <c r="L19" s="379"/>
    </row>
    <row r="20" spans="1:12" s="383" customFormat="1" ht="21.75" customHeight="1" x14ac:dyDescent="0.25">
      <c r="A20" s="380">
        <v>4</v>
      </c>
      <c r="B20" s="385">
        <v>830</v>
      </c>
      <c r="C20" s="381">
        <v>2100</v>
      </c>
      <c r="D20" s="382">
        <v>2107</v>
      </c>
      <c r="E20" s="387">
        <f t="shared" si="1"/>
        <v>35000000</v>
      </c>
      <c r="F20" s="391">
        <v>0</v>
      </c>
      <c r="G20" s="391">
        <v>0</v>
      </c>
      <c r="H20" s="391">
        <v>35000000</v>
      </c>
      <c r="I20" s="379"/>
      <c r="J20" s="379"/>
      <c r="K20" s="379"/>
      <c r="L20" s="379"/>
    </row>
    <row r="21" spans="1:12" s="352" customFormat="1" ht="21.75" customHeight="1" x14ac:dyDescent="0.25">
      <c r="A21" s="355"/>
      <c r="B21" s="373"/>
      <c r="C21" s="356"/>
      <c r="D21" s="354">
        <v>2108</v>
      </c>
      <c r="E21" s="387">
        <f t="shared" si="1"/>
        <v>1600000</v>
      </c>
      <c r="F21" s="390" t="s">
        <v>408</v>
      </c>
      <c r="G21" s="390" t="s">
        <v>408</v>
      </c>
      <c r="H21" s="387">
        <v>1600000</v>
      </c>
      <c r="I21" s="379"/>
      <c r="J21" s="379"/>
      <c r="K21" s="379"/>
      <c r="L21" s="379"/>
    </row>
    <row r="22" spans="1:12" s="352" customFormat="1" ht="21.75" customHeight="1" x14ac:dyDescent="0.25">
      <c r="A22" s="355"/>
      <c r="B22" s="373"/>
      <c r="C22" s="356">
        <v>2600</v>
      </c>
      <c r="D22" s="354">
        <v>2637</v>
      </c>
      <c r="E22" s="387">
        <f t="shared" si="1"/>
        <v>135000</v>
      </c>
      <c r="F22" s="387">
        <v>0</v>
      </c>
      <c r="G22" s="387">
        <v>0</v>
      </c>
      <c r="H22" s="387">
        <v>135000</v>
      </c>
      <c r="I22" s="379"/>
      <c r="J22" s="379"/>
      <c r="K22" s="379"/>
      <c r="L22" s="379"/>
    </row>
    <row r="23" spans="1:12" s="352" customFormat="1" ht="21.75" customHeight="1" x14ac:dyDescent="0.25">
      <c r="A23" s="355"/>
      <c r="B23" s="373"/>
      <c r="C23" s="356">
        <v>2700</v>
      </c>
      <c r="D23" s="354">
        <v>2716</v>
      </c>
      <c r="E23" s="387">
        <f t="shared" si="1"/>
        <v>119050000</v>
      </c>
      <c r="F23" s="387">
        <v>0</v>
      </c>
      <c r="G23" s="387">
        <v>0</v>
      </c>
      <c r="H23" s="387">
        <v>119050000</v>
      </c>
      <c r="I23" s="379"/>
      <c r="J23" s="379"/>
      <c r="K23" s="379"/>
      <c r="L23" s="379"/>
    </row>
    <row r="24" spans="1:12" s="352" customFormat="1" ht="21.75" customHeight="1" x14ac:dyDescent="0.25">
      <c r="A24" s="355"/>
      <c r="B24" s="373"/>
      <c r="C24" s="356">
        <v>2750</v>
      </c>
      <c r="D24" s="354">
        <v>2771</v>
      </c>
      <c r="E24" s="387">
        <f t="shared" si="1"/>
        <v>20256400</v>
      </c>
      <c r="F24" s="390" t="s">
        <v>408</v>
      </c>
      <c r="G24" s="390" t="s">
        <v>408</v>
      </c>
      <c r="H24" s="387">
        <v>20256400</v>
      </c>
      <c r="I24" s="379"/>
      <c r="J24" s="379"/>
    </row>
    <row r="25" spans="1:12" s="352" customFormat="1" ht="21.75" customHeight="1" x14ac:dyDescent="0.25">
      <c r="A25" s="355"/>
      <c r="B25" s="373"/>
      <c r="C25" s="356">
        <v>2850</v>
      </c>
      <c r="D25" s="354">
        <v>2852</v>
      </c>
      <c r="E25" s="387">
        <f t="shared" si="1"/>
        <v>6350000</v>
      </c>
      <c r="F25" s="390" t="s">
        <v>408</v>
      </c>
      <c r="G25" s="390" t="s">
        <v>408</v>
      </c>
      <c r="H25" s="387">
        <v>6350000</v>
      </c>
      <c r="I25" s="379"/>
      <c r="J25" s="379"/>
    </row>
    <row r="26" spans="1:12" s="352" customFormat="1" ht="21.75" customHeight="1" x14ac:dyDescent="0.25">
      <c r="A26" s="355"/>
      <c r="B26" s="373"/>
      <c r="C26" s="356">
        <v>4250</v>
      </c>
      <c r="D26" s="354">
        <v>4278</v>
      </c>
      <c r="E26" s="387">
        <f t="shared" si="1"/>
        <v>46400000</v>
      </c>
      <c r="F26" s="390" t="s">
        <v>408</v>
      </c>
      <c r="G26" s="390" t="s">
        <v>408</v>
      </c>
      <c r="H26" s="387">
        <v>46400000</v>
      </c>
      <c r="I26" s="379"/>
      <c r="J26" s="379"/>
    </row>
    <row r="27" spans="1:12" s="352" customFormat="1" ht="21.75" customHeight="1" x14ac:dyDescent="0.25">
      <c r="A27" s="355"/>
      <c r="B27" s="373"/>
      <c r="C27" s="356">
        <v>4900</v>
      </c>
      <c r="D27" s="354">
        <v>4902</v>
      </c>
      <c r="E27" s="387">
        <f t="shared" si="1"/>
        <v>17589000</v>
      </c>
      <c r="F27" s="390" t="s">
        <v>408</v>
      </c>
      <c r="G27" s="390" t="s">
        <v>408</v>
      </c>
      <c r="H27" s="387">
        <v>17589000</v>
      </c>
      <c r="I27" s="379"/>
      <c r="J27" s="379"/>
    </row>
    <row r="28" spans="1:12" s="352" customFormat="1" ht="21.75" customHeight="1" x14ac:dyDescent="0.25">
      <c r="A28" s="355"/>
      <c r="B28" s="373"/>
      <c r="C28" s="356"/>
      <c r="D28" s="354">
        <v>4944</v>
      </c>
      <c r="E28" s="387">
        <f t="shared" si="1"/>
        <v>20020568</v>
      </c>
      <c r="F28" s="390" t="s">
        <v>408</v>
      </c>
      <c r="G28" s="390" t="s">
        <v>408</v>
      </c>
      <c r="H28" s="387">
        <v>20020568</v>
      </c>
      <c r="I28" s="379"/>
      <c r="J28" s="379"/>
    </row>
    <row r="29" spans="1:12" s="352" customFormat="1" ht="21.75" customHeight="1" x14ac:dyDescent="0.25">
      <c r="A29" s="355"/>
      <c r="B29" s="373"/>
      <c r="C29" s="356"/>
      <c r="D29" s="354">
        <v>4947</v>
      </c>
      <c r="E29" s="387">
        <f t="shared" si="1"/>
        <v>5000</v>
      </c>
      <c r="F29" s="390" t="s">
        <v>408</v>
      </c>
      <c r="G29" s="390" t="s">
        <v>408</v>
      </c>
      <c r="H29" s="387">
        <v>5000</v>
      </c>
      <c r="I29" s="379"/>
      <c r="J29" s="379"/>
    </row>
    <row r="30" spans="1:12" s="352" customFormat="1" ht="21.75" customHeight="1" x14ac:dyDescent="0.25">
      <c r="A30" s="355"/>
      <c r="B30" s="373"/>
      <c r="C30" s="356"/>
      <c r="D30" s="354">
        <v>4949</v>
      </c>
      <c r="E30" s="387">
        <f t="shared" si="1"/>
        <v>34968592</v>
      </c>
      <c r="F30" s="390" t="s">
        <v>408</v>
      </c>
      <c r="G30" s="390" t="s">
        <v>408</v>
      </c>
      <c r="H30" s="387">
        <v>34968592</v>
      </c>
      <c r="I30" s="379"/>
      <c r="J30" s="379"/>
    </row>
    <row r="31" spans="1:12" s="352" customFormat="1" ht="21.75" customHeight="1" x14ac:dyDescent="0.25">
      <c r="A31" s="355"/>
      <c r="B31" s="373">
        <v>854</v>
      </c>
      <c r="C31" s="356">
        <v>1050</v>
      </c>
      <c r="D31" s="354">
        <v>1052</v>
      </c>
      <c r="E31" s="387">
        <f t="shared" si="1"/>
        <v>1115426</v>
      </c>
      <c r="F31" s="390" t="s">
        <v>408</v>
      </c>
      <c r="G31" s="387">
        <v>1115426</v>
      </c>
      <c r="H31" s="390" t="s">
        <v>408</v>
      </c>
      <c r="I31" s="379"/>
      <c r="J31" s="379"/>
    </row>
    <row r="32" spans="1:12" s="352" customFormat="1" ht="21.75" customHeight="1" x14ac:dyDescent="0.25">
      <c r="A32" s="355"/>
      <c r="B32" s="373"/>
      <c r="C32" s="356">
        <v>1550</v>
      </c>
      <c r="D32" s="354">
        <v>1552</v>
      </c>
      <c r="E32" s="387">
        <f t="shared" si="1"/>
        <v>366391576</v>
      </c>
      <c r="F32" s="390" t="s">
        <v>408</v>
      </c>
      <c r="G32" s="387">
        <v>366391576</v>
      </c>
      <c r="H32" s="387">
        <v>0</v>
      </c>
      <c r="I32" s="379"/>
      <c r="J32" s="379"/>
    </row>
    <row r="33" spans="1:10" s="352" customFormat="1" ht="21.75" customHeight="1" x14ac:dyDescent="0.25">
      <c r="A33" s="355"/>
      <c r="B33" s="373"/>
      <c r="C33" s="356"/>
      <c r="D33" s="354">
        <v>1555</v>
      </c>
      <c r="E33" s="387">
        <f t="shared" si="1"/>
        <v>246280270</v>
      </c>
      <c r="F33" s="390" t="s">
        <v>408</v>
      </c>
      <c r="G33" s="387">
        <v>172396189</v>
      </c>
      <c r="H33" s="387">
        <v>73884081</v>
      </c>
      <c r="I33" s="379"/>
      <c r="J33" s="379"/>
    </row>
    <row r="34" spans="1:10" s="352" customFormat="1" ht="21.75" customHeight="1" x14ac:dyDescent="0.25">
      <c r="A34" s="355"/>
      <c r="B34" s="373"/>
      <c r="C34" s="356">
        <v>1700</v>
      </c>
      <c r="D34" s="354">
        <v>1701</v>
      </c>
      <c r="E34" s="387">
        <f t="shared" si="1"/>
        <v>1019675165</v>
      </c>
      <c r="F34" s="390" t="s">
        <v>408</v>
      </c>
      <c r="G34" s="387">
        <v>1019675165</v>
      </c>
      <c r="H34" s="390" t="s">
        <v>408</v>
      </c>
      <c r="I34" s="379"/>
      <c r="J34" s="379"/>
    </row>
    <row r="35" spans="1:10" s="352" customFormat="1" ht="21.75" customHeight="1" x14ac:dyDescent="0.25">
      <c r="A35" s="355"/>
      <c r="B35" s="373"/>
      <c r="C35" s="356">
        <v>2600</v>
      </c>
      <c r="D35" s="354">
        <v>2625</v>
      </c>
      <c r="E35" s="387">
        <f t="shared" si="1"/>
        <v>20384000</v>
      </c>
      <c r="F35" s="390" t="s">
        <v>408</v>
      </c>
      <c r="G35" s="388">
        <v>14268800</v>
      </c>
      <c r="H35" s="387">
        <v>6115200</v>
      </c>
      <c r="I35" s="379"/>
      <c r="J35" s="379"/>
    </row>
    <row r="36" spans="1:10" s="352" customFormat="1" ht="21.75" customHeight="1" x14ac:dyDescent="0.25">
      <c r="A36" s="355"/>
      <c r="B36" s="373"/>
      <c r="C36" s="356">
        <v>2800</v>
      </c>
      <c r="D36" s="354">
        <v>2801</v>
      </c>
      <c r="E36" s="387">
        <f t="shared" si="1"/>
        <v>1470825</v>
      </c>
      <c r="F36" s="390" t="s">
        <v>408</v>
      </c>
      <c r="G36" s="388"/>
      <c r="H36" s="387">
        <v>1470825</v>
      </c>
      <c r="I36" s="379"/>
      <c r="J36" s="379"/>
    </row>
    <row r="37" spans="1:10" s="352" customFormat="1" ht="21.75" customHeight="1" x14ac:dyDescent="0.25">
      <c r="A37" s="355"/>
      <c r="B37" s="373"/>
      <c r="C37" s="356">
        <v>2850</v>
      </c>
      <c r="D37" s="354">
        <v>2863</v>
      </c>
      <c r="E37" s="387">
        <f t="shared" si="1"/>
        <v>2000000</v>
      </c>
      <c r="F37" s="390" t="s">
        <v>408</v>
      </c>
      <c r="G37" s="387">
        <v>2000000</v>
      </c>
      <c r="H37" s="390" t="s">
        <v>408</v>
      </c>
      <c r="I37" s="379"/>
      <c r="J37" s="379"/>
    </row>
    <row r="38" spans="1:10" s="352" customFormat="1" ht="21.75" customHeight="1" x14ac:dyDescent="0.25">
      <c r="A38" s="355"/>
      <c r="B38" s="373"/>
      <c r="C38" s="356"/>
      <c r="D38" s="354">
        <v>2864</v>
      </c>
      <c r="E38" s="387">
        <f t="shared" si="1"/>
        <v>5000000</v>
      </c>
      <c r="F38" s="390" t="s">
        <v>408</v>
      </c>
      <c r="G38" s="387">
        <v>5000000</v>
      </c>
      <c r="H38" s="390" t="s">
        <v>408</v>
      </c>
      <c r="I38" s="379"/>
      <c r="J38" s="379"/>
    </row>
    <row r="39" spans="1:10" s="352" customFormat="1" ht="21.75" customHeight="1" x14ac:dyDescent="0.25">
      <c r="A39" s="355"/>
      <c r="B39" s="373"/>
      <c r="C39" s="356">
        <v>3600</v>
      </c>
      <c r="D39" s="354">
        <v>3601</v>
      </c>
      <c r="E39" s="387">
        <f t="shared" si="1"/>
        <v>93161580</v>
      </c>
      <c r="F39" s="390" t="s">
        <v>408</v>
      </c>
      <c r="G39" s="387">
        <v>93161580</v>
      </c>
      <c r="H39" s="390" t="s">
        <v>408</v>
      </c>
      <c r="I39" s="379"/>
      <c r="J39" s="379"/>
    </row>
    <row r="40" spans="1:10" s="352" customFormat="1" ht="21.75" customHeight="1" x14ac:dyDescent="0.25">
      <c r="A40" s="355"/>
      <c r="B40" s="373"/>
      <c r="C40" s="356">
        <v>4250</v>
      </c>
      <c r="D40" s="354">
        <v>4254</v>
      </c>
      <c r="E40" s="387">
        <f t="shared" si="1"/>
        <v>45101760</v>
      </c>
      <c r="F40" s="387">
        <v>45101760</v>
      </c>
      <c r="G40" s="388"/>
      <c r="H40" s="390" t="s">
        <v>408</v>
      </c>
      <c r="I40" s="379"/>
      <c r="J40" s="379"/>
    </row>
    <row r="41" spans="1:10" s="352" customFormat="1" ht="21.75" customHeight="1" x14ac:dyDescent="0.25">
      <c r="A41" s="355"/>
      <c r="B41" s="373"/>
      <c r="C41" s="356"/>
      <c r="D41" s="354">
        <v>4268</v>
      </c>
      <c r="E41" s="387">
        <f t="shared" si="1"/>
        <v>2790168</v>
      </c>
      <c r="F41" s="387">
        <v>2790168</v>
      </c>
      <c r="G41" s="388"/>
      <c r="H41" s="390" t="s">
        <v>408</v>
      </c>
      <c r="I41" s="379"/>
      <c r="J41" s="379"/>
    </row>
    <row r="42" spans="1:10" s="352" customFormat="1" ht="21.75" customHeight="1" x14ac:dyDescent="0.25">
      <c r="A42" s="355"/>
      <c r="B42" s="373"/>
      <c r="C42" s="356"/>
      <c r="D42" s="354">
        <v>4277</v>
      </c>
      <c r="E42" s="387">
        <f t="shared" si="1"/>
        <v>1334597</v>
      </c>
      <c r="F42" s="387">
        <v>1334597</v>
      </c>
      <c r="G42" s="388"/>
      <c r="H42" s="390" t="s">
        <v>408</v>
      </c>
      <c r="I42" s="379"/>
      <c r="J42" s="379"/>
    </row>
    <row r="43" spans="1:10" s="352" customFormat="1" ht="21.75" customHeight="1" x14ac:dyDescent="0.25">
      <c r="A43" s="355"/>
      <c r="B43" s="373"/>
      <c r="C43" s="354">
        <v>4900</v>
      </c>
      <c r="D43" s="354">
        <v>4918</v>
      </c>
      <c r="E43" s="387">
        <f t="shared" si="1"/>
        <v>33463</v>
      </c>
      <c r="F43" s="390" t="s">
        <v>408</v>
      </c>
      <c r="G43" s="387">
        <v>33463</v>
      </c>
      <c r="H43" s="390" t="s">
        <v>408</v>
      </c>
      <c r="I43" s="379"/>
      <c r="J43" s="379"/>
    </row>
    <row r="44" spans="1:10" s="352" customFormat="1" ht="21.75" customHeight="1" x14ac:dyDescent="0.25">
      <c r="A44" s="355"/>
      <c r="B44" s="373"/>
      <c r="C44" s="356"/>
      <c r="D44" s="354">
        <v>4927</v>
      </c>
      <c r="E44" s="387">
        <f t="shared" si="1"/>
        <v>8681971</v>
      </c>
      <c r="F44" s="390" t="s">
        <v>408</v>
      </c>
      <c r="G44" s="387">
        <v>8681971</v>
      </c>
      <c r="H44" s="390" t="s">
        <v>408</v>
      </c>
      <c r="I44" s="379"/>
      <c r="J44" s="379"/>
    </row>
    <row r="45" spans="1:10" s="352" customFormat="1" ht="21.75" customHeight="1" x14ac:dyDescent="0.25">
      <c r="A45" s="355"/>
      <c r="B45" s="373"/>
      <c r="C45" s="356"/>
      <c r="D45" s="354">
        <v>4931</v>
      </c>
      <c r="E45" s="387">
        <f t="shared" si="1"/>
        <v>13456902</v>
      </c>
      <c r="F45" s="390" t="s">
        <v>408</v>
      </c>
      <c r="G45" s="387">
        <v>13456902</v>
      </c>
      <c r="H45" s="390" t="s">
        <v>408</v>
      </c>
      <c r="I45" s="379"/>
      <c r="J45" s="379"/>
    </row>
    <row r="46" spans="1:10" s="352" customFormat="1" ht="21.75" customHeight="1" x14ac:dyDescent="0.25">
      <c r="A46" s="355"/>
      <c r="B46" s="373"/>
      <c r="C46" s="356"/>
      <c r="D46" s="354">
        <v>4944</v>
      </c>
      <c r="E46" s="387">
        <f t="shared" si="1"/>
        <v>2599719</v>
      </c>
      <c r="F46" s="390" t="s">
        <v>408</v>
      </c>
      <c r="G46" s="388"/>
      <c r="H46" s="387">
        <v>2599719</v>
      </c>
      <c r="I46" s="379"/>
      <c r="J46" s="379"/>
    </row>
    <row r="47" spans="1:10" s="352" customFormat="1" ht="21.75" customHeight="1" x14ac:dyDescent="0.25">
      <c r="A47" s="355"/>
      <c r="B47" s="373">
        <v>855</v>
      </c>
      <c r="C47" s="356">
        <v>1550</v>
      </c>
      <c r="D47" s="354">
        <v>1555</v>
      </c>
      <c r="E47" s="387">
        <f t="shared" si="1"/>
        <v>100701216</v>
      </c>
      <c r="F47" s="390" t="s">
        <v>408</v>
      </c>
      <c r="G47" s="387">
        <v>100701216</v>
      </c>
      <c r="H47" s="390" t="s">
        <v>408</v>
      </c>
      <c r="I47" s="379"/>
      <c r="J47" s="379"/>
    </row>
    <row r="48" spans="1:10" s="383" customFormat="1" ht="21.75" customHeight="1" x14ac:dyDescent="0.25">
      <c r="A48" s="384"/>
      <c r="B48" s="385"/>
      <c r="C48" s="381">
        <v>2600</v>
      </c>
      <c r="D48" s="382">
        <v>2625</v>
      </c>
      <c r="E48" s="387">
        <f t="shared" si="1"/>
        <v>8360000</v>
      </c>
      <c r="F48" s="392" t="s">
        <v>408</v>
      </c>
      <c r="G48" s="391">
        <v>5852000</v>
      </c>
      <c r="H48" s="392">
        <v>2508000</v>
      </c>
      <c r="I48" s="379"/>
      <c r="J48" s="379"/>
    </row>
    <row r="49" spans="1:10" s="352" customFormat="1" ht="21.75" customHeight="1" x14ac:dyDescent="0.25">
      <c r="A49" s="355"/>
      <c r="B49" s="373"/>
      <c r="C49" s="356">
        <v>4250</v>
      </c>
      <c r="D49" s="354">
        <v>4254</v>
      </c>
      <c r="E49" s="387">
        <f t="shared" si="1"/>
        <v>9750000</v>
      </c>
      <c r="F49" s="387">
        <v>9750000</v>
      </c>
      <c r="G49" s="388"/>
      <c r="H49" s="390" t="s">
        <v>408</v>
      </c>
      <c r="I49" s="379"/>
      <c r="J49" s="379"/>
    </row>
    <row r="50" spans="1:10" s="352" customFormat="1" ht="21.75" customHeight="1" x14ac:dyDescent="0.25">
      <c r="A50" s="355"/>
      <c r="B50" s="373">
        <v>856</v>
      </c>
      <c r="C50" s="356">
        <v>1050</v>
      </c>
      <c r="D50" s="354">
        <v>1052</v>
      </c>
      <c r="E50" s="387">
        <f t="shared" si="1"/>
        <v>6490008</v>
      </c>
      <c r="F50" s="390" t="s">
        <v>408</v>
      </c>
      <c r="G50" s="387">
        <v>6490008</v>
      </c>
      <c r="H50" s="390" t="s">
        <v>408</v>
      </c>
      <c r="I50" s="379"/>
      <c r="J50" s="379"/>
    </row>
    <row r="51" spans="1:10" s="352" customFormat="1" ht="21.75" customHeight="1" x14ac:dyDescent="0.25">
      <c r="A51" s="355"/>
      <c r="B51" s="373"/>
      <c r="C51" s="356">
        <v>1700</v>
      </c>
      <c r="D51" s="354">
        <v>1701</v>
      </c>
      <c r="E51" s="387">
        <f t="shared" si="1"/>
        <v>13376200</v>
      </c>
      <c r="F51" s="390" t="s">
        <v>408</v>
      </c>
      <c r="G51" s="387">
        <v>13376200</v>
      </c>
      <c r="H51" s="390" t="s">
        <v>408</v>
      </c>
      <c r="I51" s="379"/>
      <c r="J51" s="379"/>
    </row>
    <row r="52" spans="1:10" s="352" customFormat="1" ht="21.75" customHeight="1" x14ac:dyDescent="0.25">
      <c r="A52" s="355"/>
      <c r="B52" s="373"/>
      <c r="C52" s="356">
        <v>4900</v>
      </c>
      <c r="D52" s="354">
        <v>4931</v>
      </c>
      <c r="E52" s="387">
        <f t="shared" si="1"/>
        <v>561989</v>
      </c>
      <c r="F52" s="390" t="s">
        <v>408</v>
      </c>
      <c r="G52" s="387">
        <v>561989</v>
      </c>
      <c r="H52" s="390" t="s">
        <v>408</v>
      </c>
      <c r="I52" s="379"/>
      <c r="J52" s="379"/>
    </row>
    <row r="53" spans="1:10" s="352" customFormat="1" ht="21.75" customHeight="1" x14ac:dyDescent="0.25">
      <c r="A53" s="355"/>
      <c r="B53" s="373">
        <v>857</v>
      </c>
      <c r="C53" s="356">
        <v>1000</v>
      </c>
      <c r="D53" s="354">
        <v>1001</v>
      </c>
      <c r="E53" s="387">
        <f t="shared" si="1"/>
        <v>-81764528</v>
      </c>
      <c r="F53" s="390" t="s">
        <v>408</v>
      </c>
      <c r="G53" s="387">
        <v>-81764528</v>
      </c>
      <c r="H53" s="390" t="s">
        <v>408</v>
      </c>
      <c r="I53" s="379"/>
      <c r="J53" s="379"/>
    </row>
    <row r="54" spans="1:10" s="352" customFormat="1" ht="21.75" customHeight="1" x14ac:dyDescent="0.25">
      <c r="A54" s="355"/>
      <c r="B54" s="373"/>
      <c r="C54" s="356"/>
      <c r="D54" s="354">
        <v>1003</v>
      </c>
      <c r="E54" s="387">
        <f t="shared" si="1"/>
        <v>545285468</v>
      </c>
      <c r="F54" s="390" t="s">
        <v>408</v>
      </c>
      <c r="G54" s="388">
        <v>93651757</v>
      </c>
      <c r="H54" s="390">
        <v>451633711</v>
      </c>
      <c r="I54" s="379"/>
      <c r="J54" s="379"/>
    </row>
    <row r="55" spans="1:10" s="352" customFormat="1" ht="21.75" customHeight="1" x14ac:dyDescent="0.25">
      <c r="A55" s="355"/>
      <c r="B55" s="373"/>
      <c r="C55" s="356"/>
      <c r="D55" s="354">
        <v>1006</v>
      </c>
      <c r="E55" s="387">
        <f t="shared" si="1"/>
        <v>978467455</v>
      </c>
      <c r="F55" s="390" t="s">
        <v>408</v>
      </c>
      <c r="G55" s="388">
        <v>294814558</v>
      </c>
      <c r="H55" s="390">
        <v>683652897</v>
      </c>
      <c r="I55" s="379"/>
      <c r="J55" s="379"/>
    </row>
    <row r="56" spans="1:10" s="352" customFormat="1" ht="21.75" customHeight="1" x14ac:dyDescent="0.25">
      <c r="A56" s="355"/>
      <c r="B56" s="373"/>
      <c r="C56" s="356">
        <v>1400</v>
      </c>
      <c r="D56" s="354">
        <v>1401</v>
      </c>
      <c r="E56" s="387">
        <f t="shared" si="1"/>
        <v>309168000</v>
      </c>
      <c r="F56" s="390" t="s">
        <v>408</v>
      </c>
      <c r="G56" s="387">
        <v>309168000</v>
      </c>
      <c r="H56" s="390" t="s">
        <v>408</v>
      </c>
      <c r="I56" s="379"/>
      <c r="J56" s="379"/>
    </row>
    <row r="57" spans="1:10" s="383" customFormat="1" ht="21.75" customHeight="1" x14ac:dyDescent="0.25">
      <c r="A57" s="384"/>
      <c r="B57" s="385"/>
      <c r="C57" s="381">
        <v>1600</v>
      </c>
      <c r="D57" s="382">
        <v>1601</v>
      </c>
      <c r="E57" s="387">
        <f t="shared" si="1"/>
        <v>45600</v>
      </c>
      <c r="F57" s="392" t="s">
        <v>408</v>
      </c>
      <c r="G57" s="393"/>
      <c r="H57" s="391">
        <v>45600</v>
      </c>
      <c r="I57" s="394" t="s">
        <v>429</v>
      </c>
      <c r="J57" s="394"/>
    </row>
    <row r="58" spans="1:10" s="383" customFormat="1" ht="21.75" customHeight="1" x14ac:dyDescent="0.25">
      <c r="A58" s="384"/>
      <c r="B58" s="385"/>
      <c r="C58" s="381"/>
      <c r="D58" s="382">
        <v>1602</v>
      </c>
      <c r="E58" s="387">
        <f t="shared" si="1"/>
        <v>1952134</v>
      </c>
      <c r="F58" s="392" t="s">
        <v>408</v>
      </c>
      <c r="G58" s="393">
        <v>372913</v>
      </c>
      <c r="H58" s="392">
        <v>1579221</v>
      </c>
      <c r="I58" s="394"/>
      <c r="J58" s="394"/>
    </row>
    <row r="59" spans="1:10" s="352" customFormat="1" ht="21.75" customHeight="1" x14ac:dyDescent="0.25">
      <c r="A59" s="355"/>
      <c r="B59" s="373"/>
      <c r="C59" s="356">
        <v>1700</v>
      </c>
      <c r="D59" s="354">
        <v>1701</v>
      </c>
      <c r="E59" s="387">
        <f t="shared" si="1"/>
        <v>1103712383</v>
      </c>
      <c r="F59" s="390" t="s">
        <v>408</v>
      </c>
      <c r="G59" s="388">
        <v>189438421</v>
      </c>
      <c r="H59" s="390">
        <v>914273962</v>
      </c>
      <c r="I59" s="379"/>
      <c r="J59" s="379"/>
    </row>
    <row r="60" spans="1:10" s="352" customFormat="1" ht="21.75" customHeight="1" x14ac:dyDescent="0.25">
      <c r="A60" s="355"/>
      <c r="B60" s="373"/>
      <c r="C60" s="356">
        <v>2800</v>
      </c>
      <c r="D60" s="354">
        <v>2801</v>
      </c>
      <c r="E60" s="387">
        <f t="shared" si="1"/>
        <v>245871822</v>
      </c>
      <c r="F60" s="390" t="s">
        <v>408</v>
      </c>
      <c r="G60" s="388">
        <v>76448890</v>
      </c>
      <c r="H60" s="390">
        <v>169422932</v>
      </c>
      <c r="I60" s="379"/>
      <c r="J60" s="379"/>
    </row>
    <row r="61" spans="1:10" s="352" customFormat="1" ht="21.75" customHeight="1" x14ac:dyDescent="0.25">
      <c r="A61" s="355"/>
      <c r="B61" s="373"/>
      <c r="C61" s="356"/>
      <c r="D61" s="354">
        <v>2802</v>
      </c>
      <c r="E61" s="387">
        <f t="shared" si="1"/>
        <v>2423503996</v>
      </c>
      <c r="F61" s="390" t="s">
        <v>408</v>
      </c>
      <c r="G61" s="387">
        <v>2423503996</v>
      </c>
      <c r="H61" s="390" t="s">
        <v>408</v>
      </c>
      <c r="I61" s="379"/>
      <c r="J61" s="379"/>
    </row>
    <row r="62" spans="1:10" s="352" customFormat="1" ht="21.75" customHeight="1" x14ac:dyDescent="0.25">
      <c r="A62" s="355"/>
      <c r="B62" s="373"/>
      <c r="C62" s="356"/>
      <c r="D62" s="354">
        <v>2804</v>
      </c>
      <c r="E62" s="387">
        <f t="shared" si="1"/>
        <v>4360</v>
      </c>
      <c r="F62" s="390" t="s">
        <v>408</v>
      </c>
      <c r="G62" s="387">
        <v>4360</v>
      </c>
      <c r="H62" s="390" t="s">
        <v>408</v>
      </c>
      <c r="I62" s="379"/>
      <c r="J62" s="379"/>
    </row>
    <row r="63" spans="1:10" s="352" customFormat="1" ht="21.75" customHeight="1" x14ac:dyDescent="0.25">
      <c r="A63" s="355"/>
      <c r="B63" s="373"/>
      <c r="C63" s="356"/>
      <c r="D63" s="354">
        <v>2824</v>
      </c>
      <c r="E63" s="387">
        <f t="shared" si="1"/>
        <v>509524220</v>
      </c>
      <c r="F63" s="390" t="s">
        <v>408</v>
      </c>
      <c r="G63" s="387">
        <v>509524220</v>
      </c>
      <c r="H63" s="390" t="s">
        <v>408</v>
      </c>
      <c r="I63" s="379"/>
      <c r="J63" s="379"/>
    </row>
    <row r="64" spans="1:10" s="352" customFormat="1" ht="21.75" customHeight="1" x14ac:dyDescent="0.25">
      <c r="A64" s="355"/>
      <c r="B64" s="373"/>
      <c r="C64" s="356">
        <v>2850</v>
      </c>
      <c r="D64" s="354">
        <v>2862</v>
      </c>
      <c r="E64" s="387">
        <f t="shared" si="1"/>
        <v>23700000</v>
      </c>
      <c r="F64" s="390" t="s">
        <v>408</v>
      </c>
      <c r="G64" s="388">
        <v>2240000</v>
      </c>
      <c r="H64" s="390">
        <v>21460000</v>
      </c>
      <c r="I64" s="379"/>
      <c r="J64" s="379"/>
    </row>
    <row r="65" spans="1:10" s="352" customFormat="1" ht="21.75" customHeight="1" x14ac:dyDescent="0.25">
      <c r="A65" s="355"/>
      <c r="B65" s="373"/>
      <c r="C65" s="356"/>
      <c r="D65" s="354">
        <v>2863</v>
      </c>
      <c r="E65" s="387">
        <f t="shared" si="1"/>
        <v>15450000</v>
      </c>
      <c r="F65" s="390" t="s">
        <v>408</v>
      </c>
      <c r="G65" s="388">
        <v>1050000</v>
      </c>
      <c r="H65" s="390">
        <v>14400000</v>
      </c>
      <c r="I65" s="379"/>
      <c r="J65" s="379"/>
    </row>
    <row r="66" spans="1:10" s="352" customFormat="1" ht="21.75" customHeight="1" x14ac:dyDescent="0.25">
      <c r="A66" s="355"/>
      <c r="B66" s="373"/>
      <c r="C66" s="356"/>
      <c r="D66" s="354">
        <v>2864</v>
      </c>
      <c r="E66" s="387">
        <f t="shared" si="1"/>
        <v>36250000</v>
      </c>
      <c r="F66" s="390" t="s">
        <v>408</v>
      </c>
      <c r="G66" s="388">
        <v>735000</v>
      </c>
      <c r="H66" s="390">
        <v>35515000</v>
      </c>
      <c r="I66" s="379"/>
      <c r="J66" s="379"/>
    </row>
    <row r="67" spans="1:10" s="352" customFormat="1" ht="21.75" customHeight="1" x14ac:dyDescent="0.25">
      <c r="A67" s="355"/>
      <c r="B67" s="373"/>
      <c r="C67" s="356">
        <v>4900</v>
      </c>
      <c r="D67" s="354">
        <v>4917</v>
      </c>
      <c r="E67" s="387">
        <f t="shared" si="1"/>
        <v>5478335</v>
      </c>
      <c r="F67" s="390" t="s">
        <v>408</v>
      </c>
      <c r="G67" s="388">
        <v>716601</v>
      </c>
      <c r="H67" s="390">
        <v>4761734</v>
      </c>
      <c r="I67" s="379"/>
      <c r="J67" s="379"/>
    </row>
    <row r="68" spans="1:10" s="352" customFormat="1" ht="21.75" customHeight="1" x14ac:dyDescent="0.25">
      <c r="A68" s="355"/>
      <c r="B68" s="373"/>
      <c r="C68" s="356"/>
      <c r="D68" s="354">
        <v>4931</v>
      </c>
      <c r="E68" s="387">
        <f t="shared" si="1"/>
        <v>9710137</v>
      </c>
      <c r="F68" s="390" t="s">
        <v>408</v>
      </c>
      <c r="G68" s="388">
        <v>1555800</v>
      </c>
      <c r="H68" s="390">
        <v>8154337</v>
      </c>
      <c r="I68" s="379"/>
      <c r="J68" s="379"/>
    </row>
    <row r="69" spans="1:10" s="352" customFormat="1" ht="21.75" customHeight="1" x14ac:dyDescent="0.25">
      <c r="A69" s="355"/>
      <c r="B69" s="373"/>
      <c r="C69" s="356"/>
      <c r="D69" s="354">
        <v>4944</v>
      </c>
      <c r="E69" s="387">
        <f t="shared" si="1"/>
        <v>5433830</v>
      </c>
      <c r="F69" s="390" t="s">
        <v>408</v>
      </c>
      <c r="G69" s="388"/>
      <c r="H69" s="387">
        <v>5433830</v>
      </c>
    </row>
    <row r="70" spans="1:10" s="352" customFormat="1" ht="21.75" customHeight="1" x14ac:dyDescent="0.25">
      <c r="A70" s="355"/>
      <c r="B70" s="373">
        <v>860</v>
      </c>
      <c r="C70" s="356">
        <v>4650</v>
      </c>
      <c r="D70" s="354">
        <v>4651</v>
      </c>
      <c r="E70" s="387">
        <f t="shared" si="1"/>
        <v>33073377823</v>
      </c>
      <c r="F70" s="390" t="s">
        <v>408</v>
      </c>
      <c r="G70" s="388"/>
      <c r="H70" s="387">
        <f>'60'!H118</f>
        <v>33073377823</v>
      </c>
    </row>
    <row r="71" spans="1:10" s="352" customFormat="1" ht="21.75" customHeight="1" x14ac:dyDescent="0.25">
      <c r="A71" s="355"/>
      <c r="B71" s="373"/>
      <c r="C71" s="356"/>
      <c r="D71" s="354">
        <v>4654</v>
      </c>
      <c r="E71" s="387">
        <f t="shared" si="1"/>
        <v>324196565714</v>
      </c>
      <c r="F71" s="390" t="s">
        <v>408</v>
      </c>
      <c r="G71" s="388"/>
      <c r="H71" s="387">
        <f>'60'!H120</f>
        <v>324196565714</v>
      </c>
    </row>
    <row r="72" spans="1:10" s="352" customFormat="1" ht="21.75" customHeight="1" x14ac:dyDescent="0.25">
      <c r="A72" s="355"/>
      <c r="B72" s="373"/>
      <c r="C72" s="356">
        <v>4800</v>
      </c>
      <c r="D72" s="354">
        <v>4801</v>
      </c>
      <c r="E72" s="387">
        <f t="shared" si="1"/>
        <v>28352000</v>
      </c>
      <c r="F72" s="390" t="s">
        <v>408</v>
      </c>
      <c r="G72" s="388"/>
      <c r="H72" s="387">
        <v>28352000</v>
      </c>
    </row>
    <row r="73" spans="1:10" s="352" customFormat="1" ht="21.75" customHeight="1" x14ac:dyDescent="0.25">
      <c r="A73" s="355"/>
      <c r="B73" s="373"/>
      <c r="C73" s="356" t="s">
        <v>410</v>
      </c>
      <c r="D73" s="354" t="s">
        <v>246</v>
      </c>
      <c r="E73" s="387">
        <f t="shared" ref="E73:E76" si="2">SUM(F73:H73)</f>
        <v>29607600</v>
      </c>
      <c r="F73" s="390" t="s">
        <v>408</v>
      </c>
      <c r="G73" s="388"/>
      <c r="H73" s="387">
        <v>29607600</v>
      </c>
    </row>
    <row r="74" spans="1:10" s="352" customFormat="1" ht="21.75" customHeight="1" x14ac:dyDescent="0.25">
      <c r="A74" s="355"/>
      <c r="B74" s="373"/>
      <c r="C74" s="356"/>
      <c r="D74" s="356" t="s">
        <v>248</v>
      </c>
      <c r="E74" s="387">
        <f t="shared" si="2"/>
        <v>85765004</v>
      </c>
      <c r="F74" s="390" t="s">
        <v>408</v>
      </c>
      <c r="G74" s="388"/>
      <c r="H74" s="387">
        <v>85765004</v>
      </c>
    </row>
    <row r="75" spans="1:10" s="352" customFormat="1" ht="21.75" customHeight="1" x14ac:dyDescent="0.25">
      <c r="A75" s="355"/>
      <c r="B75" s="373"/>
      <c r="C75" s="356"/>
      <c r="D75" s="354" t="s">
        <v>250</v>
      </c>
      <c r="E75" s="387">
        <f t="shared" si="2"/>
        <v>8500000</v>
      </c>
      <c r="F75" s="390" t="s">
        <v>408</v>
      </c>
      <c r="G75" s="388"/>
      <c r="H75" s="387">
        <v>8500000</v>
      </c>
    </row>
    <row r="76" spans="1:10" s="352" customFormat="1" ht="21.75" customHeight="1" x14ac:dyDescent="0.25">
      <c r="A76" s="355"/>
      <c r="B76" s="373"/>
      <c r="C76" s="356"/>
      <c r="D76" s="354" t="s">
        <v>251</v>
      </c>
      <c r="E76" s="387">
        <f t="shared" si="2"/>
        <v>1188542900</v>
      </c>
      <c r="F76" s="390" t="s">
        <v>408</v>
      </c>
      <c r="G76" s="388"/>
      <c r="H76" s="387">
        <v>1188542900</v>
      </c>
    </row>
    <row r="77" spans="1:10" x14ac:dyDescent="0.25">
      <c r="A77" s="6"/>
      <c r="B77" s="38"/>
      <c r="C77" s="38"/>
      <c r="D77" s="2"/>
      <c r="E77" s="2"/>
      <c r="F77" s="2"/>
      <c r="G77" s="2"/>
      <c r="H77" s="2"/>
    </row>
    <row r="78" spans="1:10" ht="15.75" hidden="1" customHeight="1" x14ac:dyDescent="0.25">
      <c r="A78" s="619" t="s">
        <v>364</v>
      </c>
      <c r="B78" s="619"/>
      <c r="C78" s="619"/>
      <c r="D78" s="153"/>
      <c r="E78" s="619" t="s">
        <v>365</v>
      </c>
      <c r="F78" s="619"/>
      <c r="G78" s="647" t="s">
        <v>366</v>
      </c>
      <c r="H78" s="647"/>
    </row>
    <row r="79" spans="1:10" ht="48" hidden="1" customHeight="1" x14ac:dyDescent="0.25">
      <c r="A79" s="646" t="s">
        <v>386</v>
      </c>
      <c r="B79" s="646"/>
      <c r="C79" s="646"/>
      <c r="D79" s="153"/>
      <c r="E79" s="600" t="s">
        <v>361</v>
      </c>
      <c r="F79" s="600"/>
      <c r="G79" s="600" t="s">
        <v>367</v>
      </c>
      <c r="H79" s="600"/>
    </row>
    <row r="80" spans="1:10" hidden="1" x14ac:dyDescent="0.25">
      <c r="A80" s="175"/>
      <c r="B80" s="349"/>
      <c r="C80" s="600"/>
      <c r="D80" s="600"/>
      <c r="E80" s="600" t="s">
        <v>220</v>
      </c>
      <c r="F80" s="600"/>
      <c r="G80" s="600" t="s">
        <v>363</v>
      </c>
      <c r="H80" s="600"/>
    </row>
    <row r="81" spans="1:8" hidden="1" x14ac:dyDescent="0.25">
      <c r="A81" s="151"/>
      <c r="B81" s="349"/>
      <c r="C81" s="153"/>
      <c r="D81" s="600"/>
      <c r="E81" s="600"/>
      <c r="F81" s="154"/>
      <c r="G81" s="344"/>
    </row>
    <row r="82" spans="1:8" hidden="1" x14ac:dyDescent="0.25">
      <c r="A82" s="151"/>
      <c r="B82" s="349"/>
      <c r="C82" s="153"/>
      <c r="D82" s="153"/>
      <c r="E82" s="153"/>
      <c r="F82" s="151"/>
      <c r="G82" s="155"/>
    </row>
    <row r="83" spans="1:8" hidden="1" x14ac:dyDescent="0.25">
      <c r="A83" s="151"/>
      <c r="B83" s="617"/>
      <c r="C83" s="617"/>
      <c r="D83" s="153"/>
      <c r="E83" s="153"/>
      <c r="F83" s="151"/>
      <c r="G83" s="155"/>
    </row>
    <row r="84" spans="1:8" hidden="1" x14ac:dyDescent="0.25">
      <c r="A84" s="151"/>
      <c r="B84" s="350"/>
      <c r="C84" s="153"/>
      <c r="D84" s="153"/>
      <c r="E84" s="153"/>
      <c r="F84" s="151"/>
      <c r="G84" s="155"/>
    </row>
    <row r="85" spans="1:8" hidden="1" x14ac:dyDescent="0.25">
      <c r="A85" s="154"/>
      <c r="B85" s="349"/>
      <c r="C85" s="153"/>
      <c r="D85" s="153"/>
      <c r="E85" s="153"/>
      <c r="F85" s="151"/>
      <c r="G85" s="155"/>
    </row>
    <row r="86" spans="1:8" hidden="1" x14ac:dyDescent="0.25">
      <c r="A86" s="151"/>
      <c r="B86" s="349"/>
      <c r="C86" s="153"/>
      <c r="D86" s="153"/>
      <c r="E86" s="153"/>
      <c r="F86" s="151"/>
      <c r="G86" s="155"/>
    </row>
    <row r="87" spans="1:8" ht="15.75" hidden="1" x14ac:dyDescent="0.25">
      <c r="A87" s="176"/>
      <c r="B87" s="176"/>
      <c r="C87" s="620"/>
      <c r="D87" s="620"/>
      <c r="E87" s="620" t="s">
        <v>362</v>
      </c>
      <c r="F87" s="620"/>
      <c r="G87" s="600" t="s">
        <v>330</v>
      </c>
      <c r="H87" s="600"/>
    </row>
  </sheetData>
  <autoFilter ref="A7:L76" xr:uid="{00000000-0009-0000-0000-000003000000}"/>
  <mergeCells count="19">
    <mergeCell ref="A1:C1"/>
    <mergeCell ref="A2:C2"/>
    <mergeCell ref="A3:H3"/>
    <mergeCell ref="A4:H4"/>
    <mergeCell ref="G1:H1"/>
    <mergeCell ref="C87:D87"/>
    <mergeCell ref="E87:F87"/>
    <mergeCell ref="G87:H87"/>
    <mergeCell ref="A78:C78"/>
    <mergeCell ref="E78:F78"/>
    <mergeCell ref="G78:H78"/>
    <mergeCell ref="A79:C79"/>
    <mergeCell ref="E79:F79"/>
    <mergeCell ref="G79:H79"/>
    <mergeCell ref="C80:D80"/>
    <mergeCell ref="E80:F80"/>
    <mergeCell ref="G80:H80"/>
    <mergeCell ref="D81:E81"/>
    <mergeCell ref="B83:C83"/>
  </mergeCells>
  <printOptions horizontalCentered="1"/>
  <pageMargins left="0.11811023622047245" right="0.11811023622047245" top="0.15748031496062992" bottom="0.15748031496062992" header="0.31496062992125984" footer="0.31496062992125984"/>
  <pageSetup paperSize="9" scale="7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59"/>
  <sheetViews>
    <sheetView workbookViewId="0">
      <selection sqref="A1:B1"/>
    </sheetView>
  </sheetViews>
  <sheetFormatPr defaultColWidth="8.85546875" defaultRowHeight="15" x14ac:dyDescent="0.25"/>
  <cols>
    <col min="1" max="1" width="19.140625" style="359" customWidth="1"/>
    <col min="2" max="2" width="20.140625" style="358" customWidth="1"/>
    <col min="3" max="3" width="9.85546875" style="358" customWidth="1"/>
    <col min="4" max="4" width="12.85546875" style="358" customWidth="1"/>
    <col min="5" max="5" width="10.85546875" style="359" customWidth="1"/>
    <col min="6" max="6" width="21.42578125" style="359" customWidth="1"/>
    <col min="7" max="7" width="21.85546875" style="359" customWidth="1"/>
    <col min="8" max="11" width="21.42578125" style="359" customWidth="1"/>
    <col min="12" max="16384" width="8.85546875" style="359"/>
  </cols>
  <sheetData>
    <row r="1" spans="1:10" ht="15.6" customHeight="1" x14ac:dyDescent="0.25">
      <c r="A1" s="664"/>
      <c r="B1" s="664"/>
      <c r="C1" s="357"/>
      <c r="F1" s="665" t="s">
        <v>431</v>
      </c>
      <c r="G1" s="665"/>
    </row>
    <row r="2" spans="1:10" ht="17.25" customHeight="1" x14ac:dyDescent="0.25">
      <c r="A2" s="669"/>
      <c r="B2" s="669"/>
    </row>
    <row r="3" spans="1:10" ht="18.75" x14ac:dyDescent="0.3">
      <c r="A3" s="666" t="s">
        <v>399</v>
      </c>
      <c r="B3" s="666"/>
      <c r="C3" s="666"/>
      <c r="D3" s="666"/>
      <c r="E3" s="666"/>
      <c r="F3" s="666"/>
      <c r="G3" s="666"/>
    </row>
    <row r="4" spans="1:10" ht="18.75" x14ac:dyDescent="0.3">
      <c r="A4" s="667" t="str">
        <f>'[3]B69-TT342'!A4:I4</f>
        <v>(Kèm theo Báo cáo số /BC-UBND ngày  19 tháng 4 năm 2026 của UBND xã Quỳnh Nhai)</v>
      </c>
      <c r="B4" s="667"/>
      <c r="C4" s="667"/>
      <c r="D4" s="667"/>
      <c r="E4" s="667"/>
      <c r="F4" s="667"/>
      <c r="G4" s="667"/>
    </row>
    <row r="5" spans="1:10" ht="34.5" customHeight="1" x14ac:dyDescent="0.25">
      <c r="F5" s="668" t="s">
        <v>427</v>
      </c>
      <c r="G5" s="668"/>
    </row>
    <row r="6" spans="1:10" s="370" customFormat="1" ht="33" customHeight="1" x14ac:dyDescent="0.25">
      <c r="A6" s="369" t="s">
        <v>393</v>
      </c>
      <c r="B6" s="371" t="s">
        <v>394</v>
      </c>
      <c r="C6" s="369" t="s">
        <v>395</v>
      </c>
      <c r="D6" s="369" t="s">
        <v>396</v>
      </c>
      <c r="E6" s="369" t="s">
        <v>397</v>
      </c>
      <c r="F6" s="369" t="s">
        <v>398</v>
      </c>
      <c r="G6" s="369" t="s">
        <v>426</v>
      </c>
    </row>
    <row r="7" spans="1:10" s="361" customFormat="1" ht="26.25" customHeight="1" x14ac:dyDescent="0.25">
      <c r="A7" s="661" t="s">
        <v>216</v>
      </c>
      <c r="B7" s="662"/>
      <c r="C7" s="662"/>
      <c r="D7" s="663"/>
      <c r="E7" s="360"/>
      <c r="G7" s="362">
        <f>SUM(G8:G548)</f>
        <v>361884125683</v>
      </c>
      <c r="H7" s="363"/>
      <c r="I7" s="363"/>
      <c r="J7" s="363"/>
    </row>
    <row r="8" spans="1:10" s="370" customFormat="1" ht="15.6" customHeight="1" x14ac:dyDescent="0.25">
      <c r="A8" s="373">
        <v>4</v>
      </c>
      <c r="B8" s="373">
        <v>800</v>
      </c>
      <c r="C8" s="374" t="s">
        <v>400</v>
      </c>
      <c r="D8" s="375" t="s">
        <v>401</v>
      </c>
      <c r="E8" s="376">
        <v>6100</v>
      </c>
      <c r="F8" s="376">
        <v>6113</v>
      </c>
      <c r="G8" s="377">
        <v>364258200</v>
      </c>
      <c r="H8" s="378"/>
      <c r="I8" s="378"/>
      <c r="J8" s="378"/>
    </row>
    <row r="9" spans="1:10" s="370" customFormat="1" ht="15.6" customHeight="1" x14ac:dyDescent="0.25">
      <c r="A9" s="373"/>
      <c r="B9" s="373"/>
      <c r="C9" s="374"/>
      <c r="D9" s="375"/>
      <c r="E9" s="376"/>
      <c r="F9" s="376">
        <v>6115</v>
      </c>
      <c r="G9" s="377">
        <v>38529685</v>
      </c>
      <c r="H9" s="378"/>
      <c r="I9" s="378"/>
      <c r="J9" s="378"/>
    </row>
    <row r="10" spans="1:10" s="370" customFormat="1" ht="15.6" customHeight="1" x14ac:dyDescent="0.25">
      <c r="A10" s="373"/>
      <c r="B10" s="373"/>
      <c r="C10" s="374"/>
      <c r="D10" s="375"/>
      <c r="E10" s="376"/>
      <c r="F10" s="376">
        <v>6116</v>
      </c>
      <c r="G10" s="377">
        <v>111344384</v>
      </c>
      <c r="H10" s="378"/>
      <c r="I10" s="378"/>
      <c r="J10" s="378"/>
    </row>
    <row r="11" spans="1:10" s="370" customFormat="1" ht="15.6" customHeight="1" x14ac:dyDescent="0.25">
      <c r="A11" s="373"/>
      <c r="B11" s="373"/>
      <c r="C11" s="374"/>
      <c r="D11" s="375"/>
      <c r="E11" s="376"/>
      <c r="F11" s="376">
        <v>6149</v>
      </c>
      <c r="G11" s="377">
        <v>513545000</v>
      </c>
      <c r="H11" s="378"/>
      <c r="I11" s="378"/>
      <c r="J11" s="378"/>
    </row>
    <row r="12" spans="1:10" s="370" customFormat="1" ht="15.6" customHeight="1" x14ac:dyDescent="0.25">
      <c r="A12" s="373"/>
      <c r="B12" s="373"/>
      <c r="C12" s="374"/>
      <c r="D12" s="375"/>
      <c r="E12" s="376">
        <v>6400</v>
      </c>
      <c r="F12" s="376">
        <v>6401</v>
      </c>
      <c r="G12" s="377">
        <v>619895000</v>
      </c>
      <c r="H12" s="378"/>
      <c r="I12" s="378"/>
      <c r="J12" s="378"/>
    </row>
    <row r="13" spans="1:10" s="370" customFormat="1" ht="15.6" customHeight="1" x14ac:dyDescent="0.25">
      <c r="A13" s="373"/>
      <c r="B13" s="373"/>
      <c r="C13" s="374"/>
      <c r="D13" s="375"/>
      <c r="E13" s="376"/>
      <c r="F13" s="376">
        <v>6449</v>
      </c>
      <c r="G13" s="377">
        <v>1009320000</v>
      </c>
    </row>
    <row r="14" spans="1:10" s="370" customFormat="1" ht="15.6" customHeight="1" x14ac:dyDescent="0.25">
      <c r="A14" s="373"/>
      <c r="B14" s="373"/>
      <c r="C14" s="374"/>
      <c r="D14" s="375"/>
      <c r="E14" s="376">
        <v>6500</v>
      </c>
      <c r="F14" s="376">
        <v>6501</v>
      </c>
      <c r="G14" s="377">
        <v>1154651</v>
      </c>
    </row>
    <row r="15" spans="1:10" s="370" customFormat="1" ht="15.6" customHeight="1" x14ac:dyDescent="0.25">
      <c r="A15" s="373"/>
      <c r="B15" s="373"/>
      <c r="C15" s="374"/>
      <c r="D15" s="375"/>
      <c r="E15" s="376"/>
      <c r="F15" s="376">
        <v>6503</v>
      </c>
      <c r="G15" s="377">
        <v>56750000</v>
      </c>
    </row>
    <row r="16" spans="1:10" s="370" customFormat="1" ht="15.6" customHeight="1" x14ac:dyDescent="0.25">
      <c r="A16" s="373"/>
      <c r="B16" s="373"/>
      <c r="C16" s="374"/>
      <c r="D16" s="375"/>
      <c r="E16" s="376">
        <v>6550</v>
      </c>
      <c r="F16" s="376">
        <v>6551</v>
      </c>
      <c r="G16" s="377">
        <v>126482449</v>
      </c>
    </row>
    <row r="17" spans="1:7" s="370" customFormat="1" ht="15.6" customHeight="1" x14ac:dyDescent="0.25">
      <c r="A17" s="373"/>
      <c r="B17" s="373"/>
      <c r="C17" s="374"/>
      <c r="D17" s="375"/>
      <c r="E17" s="376"/>
      <c r="F17" s="376">
        <v>6599</v>
      </c>
      <c r="G17" s="377">
        <v>161507000</v>
      </c>
    </row>
    <row r="18" spans="1:7" s="370" customFormat="1" ht="15.6" customHeight="1" x14ac:dyDescent="0.25">
      <c r="A18" s="373"/>
      <c r="B18" s="373"/>
      <c r="C18" s="374"/>
      <c r="D18" s="375"/>
      <c r="E18" s="376">
        <v>6650</v>
      </c>
      <c r="F18" s="376">
        <v>6651</v>
      </c>
      <c r="G18" s="377">
        <v>440000</v>
      </c>
    </row>
    <row r="19" spans="1:7" s="370" customFormat="1" ht="15.6" customHeight="1" x14ac:dyDescent="0.25">
      <c r="A19" s="373"/>
      <c r="B19" s="373"/>
      <c r="C19" s="374"/>
      <c r="D19" s="375"/>
      <c r="E19" s="376"/>
      <c r="F19" s="376">
        <v>6699</v>
      </c>
      <c r="G19" s="377">
        <v>69820000</v>
      </c>
    </row>
    <row r="20" spans="1:7" s="370" customFormat="1" ht="15.6" customHeight="1" x14ac:dyDescent="0.25">
      <c r="A20" s="373"/>
      <c r="B20" s="373"/>
      <c r="C20" s="374"/>
      <c r="D20" s="375"/>
      <c r="E20" s="376">
        <v>6700</v>
      </c>
      <c r="F20" s="376">
        <v>6701</v>
      </c>
      <c r="G20" s="377">
        <v>106008900</v>
      </c>
    </row>
    <row r="21" spans="1:7" s="370" customFormat="1" ht="15.6" customHeight="1" x14ac:dyDescent="0.25">
      <c r="A21" s="373"/>
      <c r="B21" s="373"/>
      <c r="C21" s="374"/>
      <c r="D21" s="375"/>
      <c r="E21" s="376"/>
      <c r="F21" s="376">
        <v>6702</v>
      </c>
      <c r="G21" s="377">
        <v>2560000</v>
      </c>
    </row>
    <row r="22" spans="1:7" s="370" customFormat="1" ht="15.6" customHeight="1" x14ac:dyDescent="0.25">
      <c r="A22" s="373"/>
      <c r="B22" s="373"/>
      <c r="C22" s="374"/>
      <c r="D22" s="375"/>
      <c r="E22" s="376"/>
      <c r="F22" s="376">
        <v>6749</v>
      </c>
      <c r="G22" s="377">
        <v>150570000</v>
      </c>
    </row>
    <row r="23" spans="1:7" s="370" customFormat="1" ht="15.6" customHeight="1" x14ac:dyDescent="0.25">
      <c r="A23" s="373"/>
      <c r="B23" s="373"/>
      <c r="C23" s="374"/>
      <c r="D23" s="375"/>
      <c r="E23" s="376">
        <v>6750</v>
      </c>
      <c r="F23" s="376">
        <v>6799</v>
      </c>
      <c r="G23" s="377">
        <v>7200000</v>
      </c>
    </row>
    <row r="24" spans="1:7" s="370" customFormat="1" ht="15.6" customHeight="1" x14ac:dyDescent="0.25">
      <c r="A24" s="373"/>
      <c r="B24" s="373"/>
      <c r="C24" s="374"/>
      <c r="D24" s="375"/>
      <c r="E24" s="376">
        <v>6900</v>
      </c>
      <c r="F24" s="376">
        <v>6912</v>
      </c>
      <c r="G24" s="377">
        <v>5350000</v>
      </c>
    </row>
    <row r="25" spans="1:7" s="370" customFormat="1" ht="15.6" customHeight="1" x14ac:dyDescent="0.25">
      <c r="A25" s="373"/>
      <c r="B25" s="373"/>
      <c r="C25" s="374"/>
      <c r="D25" s="375"/>
      <c r="E25" s="376">
        <v>7000</v>
      </c>
      <c r="F25" s="376">
        <v>7001</v>
      </c>
      <c r="G25" s="377">
        <v>1200000</v>
      </c>
    </row>
    <row r="26" spans="1:7" s="370" customFormat="1" ht="15.6" customHeight="1" x14ac:dyDescent="0.25">
      <c r="A26" s="373"/>
      <c r="B26" s="373"/>
      <c r="C26" s="374"/>
      <c r="D26" s="375"/>
      <c r="E26" s="376"/>
      <c r="F26" s="376">
        <v>7049</v>
      </c>
      <c r="G26" s="377">
        <v>1033910600</v>
      </c>
    </row>
    <row r="27" spans="1:7" s="370" customFormat="1" ht="15.6" customHeight="1" x14ac:dyDescent="0.25">
      <c r="A27" s="373"/>
      <c r="B27" s="373"/>
      <c r="C27" s="374" t="s">
        <v>402</v>
      </c>
      <c r="D27" s="375" t="s">
        <v>403</v>
      </c>
      <c r="E27" s="376">
        <v>6300</v>
      </c>
      <c r="F27" s="376">
        <v>6301</v>
      </c>
      <c r="G27" s="377">
        <v>394317000</v>
      </c>
    </row>
    <row r="28" spans="1:7" s="370" customFormat="1" ht="15.6" customHeight="1" x14ac:dyDescent="0.25">
      <c r="A28" s="373"/>
      <c r="B28" s="373"/>
      <c r="C28" s="374"/>
      <c r="D28" s="375"/>
      <c r="E28" s="376"/>
      <c r="F28" s="376">
        <v>6302</v>
      </c>
      <c r="G28" s="377">
        <v>135546000</v>
      </c>
    </row>
    <row r="29" spans="1:7" s="370" customFormat="1" ht="15.6" customHeight="1" x14ac:dyDescent="0.25">
      <c r="A29" s="373"/>
      <c r="B29" s="373"/>
      <c r="C29" s="374"/>
      <c r="D29" s="375"/>
      <c r="E29" s="376">
        <v>6350</v>
      </c>
      <c r="F29" s="376">
        <v>6399</v>
      </c>
      <c r="G29" s="377">
        <v>793400000</v>
      </c>
    </row>
    <row r="30" spans="1:7" s="370" customFormat="1" ht="15.6" customHeight="1" x14ac:dyDescent="0.25">
      <c r="A30" s="373"/>
      <c r="B30" s="373"/>
      <c r="C30" s="374"/>
      <c r="D30" s="375"/>
      <c r="E30" s="376">
        <v>6500</v>
      </c>
      <c r="F30" s="376">
        <v>6501</v>
      </c>
      <c r="G30" s="377">
        <v>8140558</v>
      </c>
    </row>
    <row r="31" spans="1:7" s="370" customFormat="1" ht="15.6" customHeight="1" x14ac:dyDescent="0.25">
      <c r="A31" s="373"/>
      <c r="B31" s="373"/>
      <c r="C31" s="374"/>
      <c r="D31" s="375"/>
      <c r="E31" s="376">
        <v>6550</v>
      </c>
      <c r="F31" s="376">
        <v>6551</v>
      </c>
      <c r="G31" s="377">
        <v>209843558</v>
      </c>
    </row>
    <row r="32" spans="1:7" s="370" customFormat="1" ht="15.6" customHeight="1" x14ac:dyDescent="0.25">
      <c r="A32" s="373"/>
      <c r="B32" s="373"/>
      <c r="C32" s="374"/>
      <c r="D32" s="375"/>
      <c r="E32" s="376"/>
      <c r="F32" s="376">
        <v>6552</v>
      </c>
      <c r="G32" s="377">
        <v>49600000</v>
      </c>
    </row>
    <row r="33" spans="1:7" s="370" customFormat="1" ht="15.6" customHeight="1" x14ac:dyDescent="0.25">
      <c r="A33" s="373"/>
      <c r="B33" s="373"/>
      <c r="C33" s="374"/>
      <c r="D33" s="375"/>
      <c r="E33" s="376"/>
      <c r="F33" s="376">
        <v>6599</v>
      </c>
      <c r="G33" s="377">
        <v>30120000</v>
      </c>
    </row>
    <row r="34" spans="1:7" s="370" customFormat="1" ht="15.6" customHeight="1" x14ac:dyDescent="0.25">
      <c r="A34" s="373"/>
      <c r="B34" s="373"/>
      <c r="C34" s="374"/>
      <c r="D34" s="375"/>
      <c r="E34" s="376">
        <v>6600</v>
      </c>
      <c r="F34" s="376">
        <v>6605</v>
      </c>
      <c r="G34" s="377">
        <v>390000</v>
      </c>
    </row>
    <row r="35" spans="1:7" s="370" customFormat="1" ht="15.6" customHeight="1" x14ac:dyDescent="0.25">
      <c r="A35" s="373"/>
      <c r="B35" s="373"/>
      <c r="C35" s="374"/>
      <c r="D35" s="375"/>
      <c r="E35" s="376">
        <v>6650</v>
      </c>
      <c r="F35" s="376">
        <v>6651</v>
      </c>
      <c r="G35" s="377">
        <v>70957940</v>
      </c>
    </row>
    <row r="36" spans="1:7" s="370" customFormat="1" ht="15.6" customHeight="1" x14ac:dyDescent="0.25">
      <c r="A36" s="373"/>
      <c r="B36" s="373"/>
      <c r="C36" s="374"/>
      <c r="D36" s="375"/>
      <c r="E36" s="376"/>
      <c r="F36" s="376">
        <v>6652</v>
      </c>
      <c r="G36" s="377">
        <v>10000000</v>
      </c>
    </row>
    <row r="37" spans="1:7" s="370" customFormat="1" ht="15.6" customHeight="1" x14ac:dyDescent="0.25">
      <c r="A37" s="373"/>
      <c r="B37" s="373"/>
      <c r="C37" s="374"/>
      <c r="D37" s="375"/>
      <c r="E37" s="376"/>
      <c r="F37" s="376">
        <v>6699</v>
      </c>
      <c r="G37" s="377">
        <v>231808796</v>
      </c>
    </row>
    <row r="38" spans="1:7" s="370" customFormat="1" ht="15.6" customHeight="1" x14ac:dyDescent="0.25">
      <c r="A38" s="373"/>
      <c r="B38" s="373"/>
      <c r="C38" s="374"/>
      <c r="D38" s="375"/>
      <c r="E38" s="376">
        <v>6900</v>
      </c>
      <c r="F38" s="376">
        <v>6912</v>
      </c>
      <c r="G38" s="377">
        <v>16844000</v>
      </c>
    </row>
    <row r="39" spans="1:7" s="370" customFormat="1" ht="15.6" customHeight="1" x14ac:dyDescent="0.25">
      <c r="A39" s="373"/>
      <c r="B39" s="373"/>
      <c r="C39" s="374"/>
      <c r="D39" s="375"/>
      <c r="E39" s="376">
        <v>6950</v>
      </c>
      <c r="F39" s="376">
        <v>6954</v>
      </c>
      <c r="G39" s="377">
        <v>78280000</v>
      </c>
    </row>
    <row r="40" spans="1:7" s="370" customFormat="1" ht="15.6" customHeight="1" x14ac:dyDescent="0.25">
      <c r="A40" s="373"/>
      <c r="B40" s="373"/>
      <c r="C40" s="374"/>
      <c r="D40" s="375"/>
      <c r="E40" s="376">
        <v>7000</v>
      </c>
      <c r="F40" s="376">
        <v>7001</v>
      </c>
      <c r="G40" s="377">
        <v>222360000</v>
      </c>
    </row>
    <row r="41" spans="1:7" s="370" customFormat="1" ht="15.6" customHeight="1" x14ac:dyDescent="0.25">
      <c r="A41" s="373"/>
      <c r="B41" s="373"/>
      <c r="C41" s="374"/>
      <c r="D41" s="375"/>
      <c r="E41" s="376"/>
      <c r="F41" s="376">
        <v>7049</v>
      </c>
      <c r="G41" s="377">
        <v>1420430000</v>
      </c>
    </row>
    <row r="42" spans="1:7" s="370" customFormat="1" ht="15.6" customHeight="1" x14ac:dyDescent="0.25">
      <c r="A42" s="373"/>
      <c r="B42" s="373"/>
      <c r="C42" s="374" t="s">
        <v>411</v>
      </c>
      <c r="D42" s="375" t="s">
        <v>412</v>
      </c>
      <c r="E42" s="376">
        <v>6000</v>
      </c>
      <c r="F42" s="376">
        <v>6001</v>
      </c>
      <c r="G42" s="377">
        <v>17798789842</v>
      </c>
    </row>
    <row r="43" spans="1:7" s="370" customFormat="1" ht="15.6" customHeight="1" x14ac:dyDescent="0.25">
      <c r="A43" s="373"/>
      <c r="B43" s="373"/>
      <c r="C43" s="374"/>
      <c r="D43" s="375"/>
      <c r="E43" s="376">
        <v>6050</v>
      </c>
      <c r="F43" s="376">
        <v>6051</v>
      </c>
      <c r="G43" s="377">
        <v>417653990</v>
      </c>
    </row>
    <row r="44" spans="1:7" s="370" customFormat="1" ht="15.6" customHeight="1" x14ac:dyDescent="0.25">
      <c r="A44" s="373"/>
      <c r="B44" s="373"/>
      <c r="C44" s="374"/>
      <c r="D44" s="375"/>
      <c r="E44" s="376">
        <v>6100</v>
      </c>
      <c r="F44" s="376">
        <v>6101</v>
      </c>
      <c r="G44" s="377">
        <v>215099353</v>
      </c>
    </row>
    <row r="45" spans="1:7" s="370" customFormat="1" ht="15.6" customHeight="1" x14ac:dyDescent="0.25">
      <c r="A45" s="373"/>
      <c r="B45" s="373"/>
      <c r="C45" s="374"/>
      <c r="D45" s="375"/>
      <c r="E45" s="376"/>
      <c r="F45" s="376">
        <v>6102</v>
      </c>
      <c r="G45" s="377">
        <v>2660792727</v>
      </c>
    </row>
    <row r="46" spans="1:7" s="370" customFormat="1" ht="15.6" customHeight="1" x14ac:dyDescent="0.25">
      <c r="A46" s="373"/>
      <c r="B46" s="373"/>
      <c r="C46" s="374"/>
      <c r="D46" s="375"/>
      <c r="E46" s="376"/>
      <c r="F46" s="376">
        <v>6103</v>
      </c>
      <c r="G46" s="377">
        <v>184012920</v>
      </c>
    </row>
    <row r="47" spans="1:7" s="370" customFormat="1" ht="15.6" customHeight="1" x14ac:dyDescent="0.25">
      <c r="A47" s="373"/>
      <c r="B47" s="373"/>
      <c r="C47" s="374"/>
      <c r="D47" s="375"/>
      <c r="E47" s="376"/>
      <c r="F47" s="376">
        <v>6112</v>
      </c>
      <c r="G47" s="377">
        <v>9252855476</v>
      </c>
    </row>
    <row r="48" spans="1:7" s="370" customFormat="1" ht="15.6" customHeight="1" x14ac:dyDescent="0.25">
      <c r="A48" s="373"/>
      <c r="B48" s="373"/>
      <c r="C48" s="374"/>
      <c r="D48" s="375"/>
      <c r="E48" s="376"/>
      <c r="F48" s="376">
        <v>6115</v>
      </c>
      <c r="G48" s="377">
        <v>2768837537</v>
      </c>
    </row>
    <row r="49" spans="1:7" s="370" customFormat="1" ht="15.6" customHeight="1" x14ac:dyDescent="0.25">
      <c r="A49" s="373"/>
      <c r="B49" s="373"/>
      <c r="C49" s="374"/>
      <c r="D49" s="375"/>
      <c r="E49" s="376">
        <v>6150</v>
      </c>
      <c r="F49" s="376">
        <v>6157</v>
      </c>
      <c r="G49" s="377">
        <v>429440000</v>
      </c>
    </row>
    <row r="50" spans="1:7" s="370" customFormat="1" ht="15.6" customHeight="1" x14ac:dyDescent="0.25">
      <c r="A50" s="373"/>
      <c r="B50" s="373"/>
      <c r="C50" s="374"/>
      <c r="D50" s="375"/>
      <c r="E50" s="376"/>
      <c r="F50" s="376">
        <v>6199</v>
      </c>
      <c r="G50" s="377">
        <v>231916000</v>
      </c>
    </row>
    <row r="51" spans="1:7" s="370" customFormat="1" ht="15.6" customHeight="1" x14ac:dyDescent="0.25">
      <c r="A51" s="373"/>
      <c r="B51" s="373"/>
      <c r="C51" s="374"/>
      <c r="D51" s="375"/>
      <c r="E51" s="376">
        <v>6200</v>
      </c>
      <c r="F51" s="376">
        <v>6201</v>
      </c>
      <c r="G51" s="377">
        <v>2063788396</v>
      </c>
    </row>
    <row r="52" spans="1:7" s="370" customFormat="1" ht="15.6" customHeight="1" x14ac:dyDescent="0.25">
      <c r="A52" s="373"/>
      <c r="B52" s="373"/>
      <c r="C52" s="374"/>
      <c r="D52" s="375"/>
      <c r="E52" s="376">
        <v>6250</v>
      </c>
      <c r="F52" s="376">
        <v>6253</v>
      </c>
      <c r="G52" s="377">
        <v>28108000</v>
      </c>
    </row>
    <row r="53" spans="1:7" s="370" customFormat="1" ht="15.6" customHeight="1" x14ac:dyDescent="0.25">
      <c r="A53" s="373"/>
      <c r="B53" s="373"/>
      <c r="C53" s="374"/>
      <c r="D53" s="375"/>
      <c r="E53" s="376"/>
      <c r="F53" s="376">
        <v>6254</v>
      </c>
      <c r="G53" s="377">
        <v>393000</v>
      </c>
    </row>
    <row r="54" spans="1:7" s="370" customFormat="1" ht="15.6" customHeight="1" x14ac:dyDescent="0.25">
      <c r="A54" s="373"/>
      <c r="B54" s="373"/>
      <c r="C54" s="374"/>
      <c r="D54" s="375"/>
      <c r="E54" s="376"/>
      <c r="F54" s="376">
        <v>6299</v>
      </c>
      <c r="G54" s="377">
        <v>31800000</v>
      </c>
    </row>
    <row r="55" spans="1:7" s="370" customFormat="1" ht="15.6" customHeight="1" x14ac:dyDescent="0.25">
      <c r="A55" s="373"/>
      <c r="B55" s="373"/>
      <c r="C55" s="374"/>
      <c r="D55" s="375"/>
      <c r="E55" s="376">
        <v>6300</v>
      </c>
      <c r="F55" s="376">
        <v>6301</v>
      </c>
      <c r="G55" s="377">
        <v>3630544784</v>
      </c>
    </row>
    <row r="56" spans="1:7" s="370" customFormat="1" ht="15.6" customHeight="1" x14ac:dyDescent="0.25">
      <c r="A56" s="373"/>
      <c r="B56" s="373"/>
      <c r="C56" s="374"/>
      <c r="D56" s="375"/>
      <c r="E56" s="376"/>
      <c r="F56" s="376">
        <v>6302</v>
      </c>
      <c r="G56" s="377">
        <v>625256615</v>
      </c>
    </row>
    <row r="57" spans="1:7" s="370" customFormat="1" ht="15.6" customHeight="1" x14ac:dyDescent="0.25">
      <c r="A57" s="373"/>
      <c r="B57" s="373"/>
      <c r="C57" s="374"/>
      <c r="D57" s="375"/>
      <c r="E57" s="376"/>
      <c r="F57" s="376">
        <v>6303</v>
      </c>
      <c r="G57" s="377">
        <v>208946955</v>
      </c>
    </row>
    <row r="58" spans="1:7" s="370" customFormat="1" ht="15.6" customHeight="1" x14ac:dyDescent="0.25">
      <c r="A58" s="373"/>
      <c r="B58" s="373"/>
      <c r="C58" s="374"/>
      <c r="D58" s="375"/>
      <c r="E58" s="376"/>
      <c r="F58" s="376">
        <v>6304</v>
      </c>
      <c r="G58" s="377">
        <v>206456720</v>
      </c>
    </row>
    <row r="59" spans="1:7" s="370" customFormat="1" ht="15.6" customHeight="1" x14ac:dyDescent="0.25">
      <c r="A59" s="373"/>
      <c r="B59" s="373"/>
      <c r="C59" s="374"/>
      <c r="D59" s="375"/>
      <c r="E59" s="376">
        <v>6400</v>
      </c>
      <c r="F59" s="376">
        <v>6449</v>
      </c>
      <c r="G59" s="377">
        <v>16200000</v>
      </c>
    </row>
    <row r="60" spans="1:7" s="370" customFormat="1" ht="15.6" customHeight="1" x14ac:dyDescent="0.25">
      <c r="A60" s="373"/>
      <c r="B60" s="373"/>
      <c r="C60" s="374"/>
      <c r="D60" s="375"/>
      <c r="E60" s="376">
        <v>6500</v>
      </c>
      <c r="F60" s="376">
        <v>6501</v>
      </c>
      <c r="G60" s="377">
        <v>81295627</v>
      </c>
    </row>
    <row r="61" spans="1:7" s="370" customFormat="1" ht="15.6" customHeight="1" x14ac:dyDescent="0.25">
      <c r="A61" s="373"/>
      <c r="B61" s="373"/>
      <c r="C61" s="374"/>
      <c r="D61" s="375"/>
      <c r="E61" s="376"/>
      <c r="F61" s="376">
        <v>6502</v>
      </c>
      <c r="G61" s="377">
        <v>38706394</v>
      </c>
    </row>
    <row r="62" spans="1:7" s="370" customFormat="1" ht="15.6" customHeight="1" x14ac:dyDescent="0.25">
      <c r="A62" s="373"/>
      <c r="B62" s="373"/>
      <c r="C62" s="374"/>
      <c r="D62" s="375"/>
      <c r="E62" s="376"/>
      <c r="F62" s="376">
        <v>6504</v>
      </c>
      <c r="G62" s="377">
        <v>11923200</v>
      </c>
    </row>
    <row r="63" spans="1:7" s="370" customFormat="1" ht="15.6" customHeight="1" x14ac:dyDescent="0.25">
      <c r="A63" s="373"/>
      <c r="B63" s="373"/>
      <c r="C63" s="374"/>
      <c r="D63" s="375"/>
      <c r="E63" s="376">
        <v>6550</v>
      </c>
      <c r="F63" s="376">
        <v>6551</v>
      </c>
      <c r="G63" s="377">
        <v>222357598</v>
      </c>
    </row>
    <row r="64" spans="1:7" s="370" customFormat="1" ht="15.6" customHeight="1" x14ac:dyDescent="0.25">
      <c r="A64" s="373"/>
      <c r="B64" s="373"/>
      <c r="C64" s="374"/>
      <c r="D64" s="375"/>
      <c r="E64" s="376"/>
      <c r="F64" s="376">
        <v>6552</v>
      </c>
      <c r="G64" s="377">
        <v>41350000</v>
      </c>
    </row>
    <row r="65" spans="1:7" s="370" customFormat="1" ht="15.6" customHeight="1" x14ac:dyDescent="0.25">
      <c r="A65" s="373"/>
      <c r="B65" s="373"/>
      <c r="C65" s="374"/>
      <c r="D65" s="375"/>
      <c r="E65" s="376"/>
      <c r="F65" s="376">
        <v>6599</v>
      </c>
      <c r="G65" s="377">
        <v>666494524</v>
      </c>
    </row>
    <row r="66" spans="1:7" s="370" customFormat="1" ht="15.6" customHeight="1" x14ac:dyDescent="0.25">
      <c r="A66" s="373"/>
      <c r="B66" s="373"/>
      <c r="C66" s="374"/>
      <c r="D66" s="375"/>
      <c r="E66" s="376">
        <v>6600</v>
      </c>
      <c r="F66" s="376">
        <v>6601</v>
      </c>
      <c r="G66" s="377">
        <v>2226215</v>
      </c>
    </row>
    <row r="67" spans="1:7" s="370" customFormat="1" ht="15.6" customHeight="1" x14ac:dyDescent="0.25">
      <c r="A67" s="373"/>
      <c r="B67" s="373"/>
      <c r="C67" s="374"/>
      <c r="D67" s="375"/>
      <c r="E67" s="376"/>
      <c r="F67" s="376">
        <v>6605</v>
      </c>
      <c r="G67" s="377">
        <v>62763444</v>
      </c>
    </row>
    <row r="68" spans="1:7" s="370" customFormat="1" ht="15.6" customHeight="1" x14ac:dyDescent="0.25">
      <c r="A68" s="373"/>
      <c r="B68" s="373"/>
      <c r="C68" s="374"/>
      <c r="D68" s="375"/>
      <c r="E68" s="376"/>
      <c r="F68" s="376">
        <v>6649</v>
      </c>
      <c r="G68" s="377">
        <v>76855185</v>
      </c>
    </row>
    <row r="69" spans="1:7" s="370" customFormat="1" ht="15.6" customHeight="1" x14ac:dyDescent="0.25">
      <c r="A69" s="373"/>
      <c r="B69" s="373"/>
      <c r="C69" s="374"/>
      <c r="D69" s="375"/>
      <c r="E69" s="376">
        <v>6700</v>
      </c>
      <c r="F69" s="376">
        <v>6701</v>
      </c>
      <c r="G69" s="377">
        <v>19943000</v>
      </c>
    </row>
    <row r="70" spans="1:7" s="370" customFormat="1" ht="15.6" customHeight="1" x14ac:dyDescent="0.25">
      <c r="A70" s="373"/>
      <c r="B70" s="373"/>
      <c r="C70" s="374"/>
      <c r="D70" s="375"/>
      <c r="E70" s="376"/>
      <c r="F70" s="376">
        <v>6702</v>
      </c>
      <c r="G70" s="377">
        <v>45930000</v>
      </c>
    </row>
    <row r="71" spans="1:7" s="370" customFormat="1" ht="15.6" customHeight="1" x14ac:dyDescent="0.25">
      <c r="A71" s="373"/>
      <c r="B71" s="373"/>
      <c r="C71" s="374"/>
      <c r="D71" s="375"/>
      <c r="E71" s="376"/>
      <c r="F71" s="376">
        <v>6703</v>
      </c>
      <c r="G71" s="377">
        <v>24330000</v>
      </c>
    </row>
    <row r="72" spans="1:7" s="370" customFormat="1" ht="15.6" customHeight="1" x14ac:dyDescent="0.25">
      <c r="A72" s="373"/>
      <c r="B72" s="373"/>
      <c r="C72" s="374"/>
      <c r="D72" s="375"/>
      <c r="E72" s="376">
        <v>6900</v>
      </c>
      <c r="F72" s="376">
        <v>6912</v>
      </c>
      <c r="G72" s="377">
        <v>120544000</v>
      </c>
    </row>
    <row r="73" spans="1:7" s="370" customFormat="1" ht="15.6" customHeight="1" x14ac:dyDescent="0.25">
      <c r="A73" s="373"/>
      <c r="B73" s="373"/>
      <c r="C73" s="374"/>
      <c r="D73" s="375"/>
      <c r="E73" s="376"/>
      <c r="F73" s="376">
        <v>6913</v>
      </c>
      <c r="G73" s="377">
        <v>6900000</v>
      </c>
    </row>
    <row r="74" spans="1:7" s="370" customFormat="1" ht="15.6" customHeight="1" x14ac:dyDescent="0.25">
      <c r="A74" s="373"/>
      <c r="B74" s="373"/>
      <c r="C74" s="374"/>
      <c r="D74" s="375"/>
      <c r="E74" s="376"/>
      <c r="F74" s="376">
        <v>6921</v>
      </c>
      <c r="G74" s="377">
        <v>46348000</v>
      </c>
    </row>
    <row r="75" spans="1:7" s="370" customFormat="1" ht="15.6" customHeight="1" x14ac:dyDescent="0.25">
      <c r="A75" s="373"/>
      <c r="B75" s="373"/>
      <c r="C75" s="374"/>
      <c r="D75" s="375"/>
      <c r="E75" s="376"/>
      <c r="F75" s="376">
        <v>6949</v>
      </c>
      <c r="G75" s="377">
        <v>15780000</v>
      </c>
    </row>
    <row r="76" spans="1:7" s="370" customFormat="1" ht="15.6" customHeight="1" x14ac:dyDescent="0.25">
      <c r="A76" s="373"/>
      <c r="B76" s="373"/>
      <c r="C76" s="374"/>
      <c r="D76" s="375"/>
      <c r="E76" s="376">
        <v>6950</v>
      </c>
      <c r="F76" s="376">
        <v>6955</v>
      </c>
      <c r="G76" s="377">
        <v>28672864</v>
      </c>
    </row>
    <row r="77" spans="1:7" s="370" customFormat="1" ht="15.6" customHeight="1" x14ac:dyDescent="0.25">
      <c r="A77" s="373"/>
      <c r="B77" s="373"/>
      <c r="C77" s="374"/>
      <c r="D77" s="375"/>
      <c r="E77" s="376">
        <v>7000</v>
      </c>
      <c r="F77" s="376">
        <v>7001</v>
      </c>
      <c r="G77" s="377">
        <v>510068552</v>
      </c>
    </row>
    <row r="78" spans="1:7" s="370" customFormat="1" ht="15.6" customHeight="1" x14ac:dyDescent="0.25">
      <c r="A78" s="373"/>
      <c r="B78" s="373"/>
      <c r="C78" s="374"/>
      <c r="D78" s="375"/>
      <c r="E78" s="376">
        <v>7050</v>
      </c>
      <c r="F78" s="376">
        <v>7053</v>
      </c>
      <c r="G78" s="377">
        <v>10000000</v>
      </c>
    </row>
    <row r="79" spans="1:7" s="370" customFormat="1" ht="15.6" customHeight="1" x14ac:dyDescent="0.25">
      <c r="A79" s="373"/>
      <c r="B79" s="373"/>
      <c r="C79" s="374"/>
      <c r="D79" s="375"/>
      <c r="E79" s="376">
        <v>7750</v>
      </c>
      <c r="F79" s="376">
        <v>7756</v>
      </c>
      <c r="G79" s="377">
        <v>9141000</v>
      </c>
    </row>
    <row r="80" spans="1:7" s="370" customFormat="1" ht="15.6" customHeight="1" x14ac:dyDescent="0.25">
      <c r="A80" s="373"/>
      <c r="B80" s="373"/>
      <c r="C80" s="374"/>
      <c r="D80" s="375"/>
      <c r="E80" s="376"/>
      <c r="F80" s="376">
        <v>7757</v>
      </c>
      <c r="G80" s="377">
        <v>7440557</v>
      </c>
    </row>
    <row r="81" spans="1:7" s="370" customFormat="1" ht="15.6" customHeight="1" x14ac:dyDescent="0.25">
      <c r="A81" s="373"/>
      <c r="B81" s="373"/>
      <c r="C81" s="374"/>
      <c r="D81" s="375"/>
      <c r="E81" s="376"/>
      <c r="F81" s="376">
        <v>7766</v>
      </c>
      <c r="G81" s="377">
        <v>51734000</v>
      </c>
    </row>
    <row r="82" spans="1:7" s="370" customFormat="1" ht="15.6" customHeight="1" x14ac:dyDescent="0.25">
      <c r="A82" s="373"/>
      <c r="B82" s="373"/>
      <c r="C82" s="374"/>
      <c r="D82" s="375"/>
      <c r="E82" s="376">
        <v>8000</v>
      </c>
      <c r="F82" s="376">
        <v>8006</v>
      </c>
      <c r="G82" s="377">
        <v>514150592</v>
      </c>
    </row>
    <row r="83" spans="1:7" s="370" customFormat="1" ht="15.6" customHeight="1" x14ac:dyDescent="0.25">
      <c r="A83" s="373"/>
      <c r="B83" s="373"/>
      <c r="C83" s="374"/>
      <c r="D83" s="375" t="s">
        <v>413</v>
      </c>
      <c r="E83" s="376">
        <v>6000</v>
      </c>
      <c r="F83" s="376">
        <v>6001</v>
      </c>
      <c r="G83" s="377">
        <v>29415143644</v>
      </c>
    </row>
    <row r="84" spans="1:7" s="370" customFormat="1" ht="15.6" customHeight="1" x14ac:dyDescent="0.25">
      <c r="A84" s="373"/>
      <c r="B84" s="373"/>
      <c r="C84" s="374"/>
      <c r="D84" s="375"/>
      <c r="E84" s="376">
        <v>6050</v>
      </c>
      <c r="F84" s="376">
        <v>6051</v>
      </c>
      <c r="G84" s="377">
        <v>821403641</v>
      </c>
    </row>
    <row r="85" spans="1:7" s="370" customFormat="1" ht="15.6" customHeight="1" x14ac:dyDescent="0.25">
      <c r="A85" s="373"/>
      <c r="B85" s="373"/>
      <c r="C85" s="374"/>
      <c r="D85" s="375"/>
      <c r="E85" s="376">
        <v>6100</v>
      </c>
      <c r="F85" s="376">
        <v>6101</v>
      </c>
      <c r="G85" s="377">
        <v>258421884</v>
      </c>
    </row>
    <row r="86" spans="1:7" s="370" customFormat="1" ht="15.6" customHeight="1" x14ac:dyDescent="0.25">
      <c r="A86" s="373"/>
      <c r="B86" s="373"/>
      <c r="C86" s="374"/>
      <c r="D86" s="375"/>
      <c r="E86" s="376"/>
      <c r="F86" s="376">
        <v>6102</v>
      </c>
      <c r="G86" s="377">
        <v>3685063909</v>
      </c>
    </row>
    <row r="87" spans="1:7" s="370" customFormat="1" ht="15.6" customHeight="1" x14ac:dyDescent="0.25">
      <c r="A87" s="373"/>
      <c r="B87" s="373"/>
      <c r="C87" s="374"/>
      <c r="D87" s="375"/>
      <c r="E87" s="376"/>
      <c r="F87" s="376">
        <v>6105</v>
      </c>
      <c r="G87" s="377">
        <v>361815135</v>
      </c>
    </row>
    <row r="88" spans="1:7" s="370" customFormat="1" ht="15.6" customHeight="1" x14ac:dyDescent="0.25">
      <c r="A88" s="373"/>
      <c r="B88" s="373"/>
      <c r="C88" s="374"/>
      <c r="D88" s="375"/>
      <c r="E88" s="376"/>
      <c r="F88" s="376">
        <v>6107</v>
      </c>
      <c r="G88" s="377">
        <v>356429736</v>
      </c>
    </row>
    <row r="89" spans="1:7" s="370" customFormat="1" ht="15.6" customHeight="1" x14ac:dyDescent="0.25">
      <c r="A89" s="373"/>
      <c r="B89" s="373"/>
      <c r="C89" s="374"/>
      <c r="D89" s="375"/>
      <c r="E89" s="376"/>
      <c r="F89" s="376">
        <v>6112</v>
      </c>
      <c r="G89" s="377">
        <v>12979724634</v>
      </c>
    </row>
    <row r="90" spans="1:7" s="370" customFormat="1" ht="15.6" customHeight="1" x14ac:dyDescent="0.25">
      <c r="A90" s="373"/>
      <c r="B90" s="373"/>
      <c r="C90" s="374"/>
      <c r="D90" s="375"/>
      <c r="E90" s="376"/>
      <c r="F90" s="376">
        <v>6113</v>
      </c>
      <c r="G90" s="377">
        <v>68562000</v>
      </c>
    </row>
    <row r="91" spans="1:7" s="370" customFormat="1" ht="15.6" customHeight="1" x14ac:dyDescent="0.25">
      <c r="A91" s="373"/>
      <c r="B91" s="373"/>
      <c r="C91" s="374"/>
      <c r="D91" s="375"/>
      <c r="E91" s="376"/>
      <c r="F91" s="376">
        <v>6115</v>
      </c>
      <c r="G91" s="377">
        <v>5678028866</v>
      </c>
    </row>
    <row r="92" spans="1:7" s="370" customFormat="1" ht="15.6" customHeight="1" x14ac:dyDescent="0.25">
      <c r="A92" s="373"/>
      <c r="B92" s="373"/>
      <c r="C92" s="374"/>
      <c r="D92" s="375"/>
      <c r="E92" s="376"/>
      <c r="F92" s="376">
        <v>6149</v>
      </c>
      <c r="G92" s="377">
        <v>206671140</v>
      </c>
    </row>
    <row r="93" spans="1:7" s="370" customFormat="1" ht="15.6" customHeight="1" x14ac:dyDescent="0.25">
      <c r="A93" s="373"/>
      <c r="B93" s="373"/>
      <c r="C93" s="374"/>
      <c r="D93" s="375"/>
      <c r="E93" s="376">
        <v>6150</v>
      </c>
      <c r="F93" s="376">
        <v>6157</v>
      </c>
      <c r="G93" s="377">
        <v>1563010000</v>
      </c>
    </row>
    <row r="94" spans="1:7" s="370" customFormat="1" ht="15.6" customHeight="1" x14ac:dyDescent="0.25">
      <c r="A94" s="373"/>
      <c r="B94" s="373"/>
      <c r="C94" s="374"/>
      <c r="D94" s="375"/>
      <c r="E94" s="376"/>
      <c r="F94" s="376">
        <v>6199</v>
      </c>
      <c r="G94" s="377">
        <v>119912000</v>
      </c>
    </row>
    <row r="95" spans="1:7" s="370" customFormat="1" ht="15.6" customHeight="1" x14ac:dyDescent="0.25">
      <c r="A95" s="373"/>
      <c r="B95" s="373"/>
      <c r="C95" s="374"/>
      <c r="D95" s="375"/>
      <c r="E95" s="376">
        <v>6200</v>
      </c>
      <c r="F95" s="376">
        <v>6201</v>
      </c>
      <c r="G95" s="377">
        <v>3304595163</v>
      </c>
    </row>
    <row r="96" spans="1:7" s="370" customFormat="1" ht="15.6" customHeight="1" x14ac:dyDescent="0.25">
      <c r="A96" s="373"/>
      <c r="B96" s="373"/>
      <c r="C96" s="374"/>
      <c r="D96" s="375"/>
      <c r="E96" s="376"/>
      <c r="F96" s="376">
        <v>6249</v>
      </c>
      <c r="G96" s="377">
        <v>199000000</v>
      </c>
    </row>
    <row r="97" spans="1:7" s="370" customFormat="1" ht="15.6" customHeight="1" x14ac:dyDescent="0.25">
      <c r="A97" s="373"/>
      <c r="B97" s="373"/>
      <c r="C97" s="374"/>
      <c r="D97" s="375"/>
      <c r="E97" s="376">
        <v>6250</v>
      </c>
      <c r="F97" s="376">
        <v>6253</v>
      </c>
      <c r="G97" s="377">
        <v>67089818</v>
      </c>
    </row>
    <row r="98" spans="1:7" s="370" customFormat="1" ht="15.6" customHeight="1" x14ac:dyDescent="0.25">
      <c r="A98" s="373"/>
      <c r="B98" s="373"/>
      <c r="C98" s="374"/>
      <c r="D98" s="375"/>
      <c r="E98" s="376"/>
      <c r="F98" s="376">
        <v>6299</v>
      </c>
      <c r="G98" s="377">
        <v>63706000</v>
      </c>
    </row>
    <row r="99" spans="1:7" s="370" customFormat="1" ht="15.6" customHeight="1" x14ac:dyDescent="0.25">
      <c r="A99" s="373"/>
      <c r="B99" s="373"/>
      <c r="C99" s="374"/>
      <c r="D99" s="375"/>
      <c r="E99" s="376">
        <v>6300</v>
      </c>
      <c r="F99" s="376">
        <v>6301</v>
      </c>
      <c r="G99" s="377">
        <v>6190137034</v>
      </c>
    </row>
    <row r="100" spans="1:7" s="370" customFormat="1" ht="15.6" customHeight="1" x14ac:dyDescent="0.25">
      <c r="A100" s="373"/>
      <c r="B100" s="373"/>
      <c r="C100" s="374"/>
      <c r="D100" s="375"/>
      <c r="E100" s="376"/>
      <c r="F100" s="376">
        <v>6302</v>
      </c>
      <c r="G100" s="377">
        <v>1061766583</v>
      </c>
    </row>
    <row r="101" spans="1:7" s="370" customFormat="1" ht="15.6" customHeight="1" x14ac:dyDescent="0.25">
      <c r="A101" s="373"/>
      <c r="B101" s="373"/>
      <c r="C101" s="374"/>
      <c r="D101" s="375"/>
      <c r="E101" s="376"/>
      <c r="F101" s="376">
        <v>6303</v>
      </c>
      <c r="G101" s="377">
        <v>351724369</v>
      </c>
    </row>
    <row r="102" spans="1:7" s="370" customFormat="1" ht="15.6" customHeight="1" x14ac:dyDescent="0.25">
      <c r="A102" s="373"/>
      <c r="B102" s="373"/>
      <c r="C102" s="374"/>
      <c r="D102" s="375"/>
      <c r="E102" s="376"/>
      <c r="F102" s="376">
        <v>6304</v>
      </c>
      <c r="G102" s="377">
        <v>352116100</v>
      </c>
    </row>
    <row r="103" spans="1:7" s="370" customFormat="1" ht="15.6" customHeight="1" x14ac:dyDescent="0.25">
      <c r="A103" s="373"/>
      <c r="B103" s="373"/>
      <c r="C103" s="374"/>
      <c r="D103" s="375"/>
      <c r="E103" s="376">
        <v>6400</v>
      </c>
      <c r="F103" s="376">
        <v>6449</v>
      </c>
      <c r="G103" s="377">
        <v>289908800</v>
      </c>
    </row>
    <row r="104" spans="1:7" s="370" customFormat="1" ht="15.6" customHeight="1" x14ac:dyDescent="0.25">
      <c r="A104" s="373"/>
      <c r="B104" s="373"/>
      <c r="C104" s="374"/>
      <c r="D104" s="375"/>
      <c r="E104" s="376">
        <v>6500</v>
      </c>
      <c r="F104" s="376">
        <v>6501</v>
      </c>
      <c r="G104" s="377">
        <v>137287431</v>
      </c>
    </row>
    <row r="105" spans="1:7" s="370" customFormat="1" ht="15.6" customHeight="1" x14ac:dyDescent="0.25">
      <c r="A105" s="373"/>
      <c r="B105" s="373"/>
      <c r="C105" s="374"/>
      <c r="D105" s="375"/>
      <c r="E105" s="376"/>
      <c r="F105" s="376">
        <v>6502</v>
      </c>
      <c r="G105" s="377">
        <v>40170778</v>
      </c>
    </row>
    <row r="106" spans="1:7" s="370" customFormat="1" ht="15.6" customHeight="1" x14ac:dyDescent="0.25">
      <c r="A106" s="373"/>
      <c r="B106" s="373"/>
      <c r="C106" s="374"/>
      <c r="D106" s="375"/>
      <c r="E106" s="376"/>
      <c r="F106" s="376">
        <v>6504</v>
      </c>
      <c r="G106" s="377">
        <v>7948800</v>
      </c>
    </row>
    <row r="107" spans="1:7" s="370" customFormat="1" ht="15.6" customHeight="1" x14ac:dyDescent="0.25">
      <c r="A107" s="373"/>
      <c r="B107" s="373"/>
      <c r="C107" s="374"/>
      <c r="D107" s="375"/>
      <c r="E107" s="376">
        <v>6550</v>
      </c>
      <c r="F107" s="376">
        <v>6551</v>
      </c>
      <c r="G107" s="377">
        <v>318419021</v>
      </c>
    </row>
    <row r="108" spans="1:7" s="370" customFormat="1" ht="15.6" customHeight="1" x14ac:dyDescent="0.25">
      <c r="A108" s="373"/>
      <c r="B108" s="373"/>
      <c r="C108" s="374"/>
      <c r="D108" s="375"/>
      <c r="E108" s="376"/>
      <c r="F108" s="376">
        <v>6552</v>
      </c>
      <c r="G108" s="377">
        <v>72200000</v>
      </c>
    </row>
    <row r="109" spans="1:7" s="370" customFormat="1" ht="15.6" customHeight="1" x14ac:dyDescent="0.25">
      <c r="A109" s="373"/>
      <c r="B109" s="373"/>
      <c r="C109" s="374"/>
      <c r="D109" s="375"/>
      <c r="E109" s="376"/>
      <c r="F109" s="376">
        <v>6599</v>
      </c>
      <c r="G109" s="377">
        <v>566446799</v>
      </c>
    </row>
    <row r="110" spans="1:7" s="370" customFormat="1" ht="15.6" customHeight="1" x14ac:dyDescent="0.25">
      <c r="A110" s="373"/>
      <c r="B110" s="373"/>
      <c r="C110" s="374"/>
      <c r="D110" s="375"/>
      <c r="E110" s="376">
        <v>6600</v>
      </c>
      <c r="F110" s="376">
        <v>6601</v>
      </c>
      <c r="G110" s="377">
        <v>1312457</v>
      </c>
    </row>
    <row r="111" spans="1:7" s="370" customFormat="1" ht="15.6" customHeight="1" x14ac:dyDescent="0.25">
      <c r="A111" s="373"/>
      <c r="B111" s="373"/>
      <c r="C111" s="374"/>
      <c r="D111" s="375"/>
      <c r="E111" s="376"/>
      <c r="F111" s="376">
        <v>6605</v>
      </c>
      <c r="G111" s="377">
        <v>60849427</v>
      </c>
    </row>
    <row r="112" spans="1:7" s="370" customFormat="1" ht="15.6" customHeight="1" x14ac:dyDescent="0.25">
      <c r="A112" s="373"/>
      <c r="B112" s="373"/>
      <c r="C112" s="374"/>
      <c r="D112" s="375"/>
      <c r="E112" s="376"/>
      <c r="F112" s="376">
        <v>6649</v>
      </c>
      <c r="G112" s="377">
        <v>91019974</v>
      </c>
    </row>
    <row r="113" spans="1:7" s="370" customFormat="1" ht="15.6" customHeight="1" x14ac:dyDescent="0.25">
      <c r="A113" s="373"/>
      <c r="B113" s="373"/>
      <c r="C113" s="374"/>
      <c r="D113" s="375"/>
      <c r="E113" s="376">
        <v>6650</v>
      </c>
      <c r="F113" s="376">
        <v>6652</v>
      </c>
      <c r="G113" s="377">
        <v>3500000</v>
      </c>
    </row>
    <row r="114" spans="1:7" s="370" customFormat="1" ht="15.6" customHeight="1" x14ac:dyDescent="0.25">
      <c r="A114" s="373"/>
      <c r="B114" s="373"/>
      <c r="C114" s="374"/>
      <c r="D114" s="375"/>
      <c r="E114" s="376"/>
      <c r="F114" s="376">
        <v>6699</v>
      </c>
      <c r="G114" s="377">
        <v>8022000</v>
      </c>
    </row>
    <row r="115" spans="1:7" s="370" customFormat="1" ht="15.6" customHeight="1" x14ac:dyDescent="0.25">
      <c r="A115" s="373"/>
      <c r="B115" s="373"/>
      <c r="C115" s="374"/>
      <c r="D115" s="375"/>
      <c r="E115" s="376">
        <v>6700</v>
      </c>
      <c r="F115" s="376">
        <v>6701</v>
      </c>
      <c r="G115" s="377">
        <v>44516000</v>
      </c>
    </row>
    <row r="116" spans="1:7" s="370" customFormat="1" ht="15.6" customHeight="1" x14ac:dyDescent="0.25">
      <c r="A116" s="373"/>
      <c r="B116" s="373"/>
      <c r="C116" s="374"/>
      <c r="D116" s="375"/>
      <c r="E116" s="376"/>
      <c r="F116" s="376">
        <v>6702</v>
      </c>
      <c r="G116" s="377">
        <v>112827040</v>
      </c>
    </row>
    <row r="117" spans="1:7" s="370" customFormat="1" ht="15.6" customHeight="1" x14ac:dyDescent="0.25">
      <c r="A117" s="373"/>
      <c r="B117" s="373"/>
      <c r="C117" s="374"/>
      <c r="D117" s="375"/>
      <c r="E117" s="376"/>
      <c r="F117" s="376">
        <v>6703</v>
      </c>
      <c r="G117" s="377">
        <v>73890000</v>
      </c>
    </row>
    <row r="118" spans="1:7" s="370" customFormat="1" ht="15.6" customHeight="1" x14ac:dyDescent="0.25">
      <c r="A118" s="373"/>
      <c r="B118" s="373"/>
      <c r="C118" s="374"/>
      <c r="D118" s="375"/>
      <c r="E118" s="376">
        <v>6750</v>
      </c>
      <c r="F118" s="376">
        <v>6751</v>
      </c>
      <c r="G118" s="377">
        <v>34339000</v>
      </c>
    </row>
    <row r="119" spans="1:7" s="370" customFormat="1" ht="15.6" customHeight="1" x14ac:dyDescent="0.25">
      <c r="A119" s="373"/>
      <c r="B119" s="373"/>
      <c r="C119" s="374"/>
      <c r="D119" s="375"/>
      <c r="E119" s="376"/>
      <c r="F119" s="376">
        <v>6757</v>
      </c>
      <c r="G119" s="377">
        <v>27000</v>
      </c>
    </row>
    <row r="120" spans="1:7" s="370" customFormat="1" ht="15.6" customHeight="1" x14ac:dyDescent="0.25">
      <c r="A120" s="373"/>
      <c r="B120" s="373"/>
      <c r="C120" s="374"/>
      <c r="D120" s="375"/>
      <c r="E120" s="376">
        <v>6900</v>
      </c>
      <c r="F120" s="376">
        <v>6912</v>
      </c>
      <c r="G120" s="377">
        <v>71585000</v>
      </c>
    </row>
    <row r="121" spans="1:7" s="370" customFormat="1" ht="15.6" customHeight="1" x14ac:dyDescent="0.25">
      <c r="A121" s="373"/>
      <c r="B121" s="373"/>
      <c r="C121" s="374"/>
      <c r="D121" s="375"/>
      <c r="E121" s="376"/>
      <c r="F121" s="376">
        <v>6913</v>
      </c>
      <c r="G121" s="377">
        <v>4830000</v>
      </c>
    </row>
    <row r="122" spans="1:7" s="370" customFormat="1" ht="15.6" customHeight="1" x14ac:dyDescent="0.25">
      <c r="A122" s="373"/>
      <c r="B122" s="373"/>
      <c r="C122" s="374"/>
      <c r="D122" s="375"/>
      <c r="E122" s="376"/>
      <c r="F122" s="376">
        <v>6921</v>
      </c>
      <c r="G122" s="377">
        <v>122506220</v>
      </c>
    </row>
    <row r="123" spans="1:7" s="370" customFormat="1" ht="15.6" customHeight="1" x14ac:dyDescent="0.25">
      <c r="A123" s="373"/>
      <c r="B123" s="373"/>
      <c r="C123" s="374"/>
      <c r="D123" s="375"/>
      <c r="E123" s="376"/>
      <c r="F123" s="376">
        <v>6949</v>
      </c>
      <c r="G123" s="377">
        <v>10120050</v>
      </c>
    </row>
    <row r="124" spans="1:7" s="370" customFormat="1" ht="15.6" customHeight="1" x14ac:dyDescent="0.25">
      <c r="A124" s="373"/>
      <c r="B124" s="373"/>
      <c r="C124" s="374"/>
      <c r="D124" s="375"/>
      <c r="E124" s="376">
        <v>6950</v>
      </c>
      <c r="F124" s="376">
        <v>6954</v>
      </c>
      <c r="G124" s="377">
        <v>29800000</v>
      </c>
    </row>
    <row r="125" spans="1:7" s="370" customFormat="1" ht="15.6" customHeight="1" x14ac:dyDescent="0.25">
      <c r="A125" s="373"/>
      <c r="B125" s="373"/>
      <c r="C125" s="374"/>
      <c r="D125" s="375"/>
      <c r="E125" s="376"/>
      <c r="F125" s="376">
        <v>6955</v>
      </c>
      <c r="G125" s="377">
        <v>12200000</v>
      </c>
    </row>
    <row r="126" spans="1:7" s="370" customFormat="1" ht="15.6" customHeight="1" x14ac:dyDescent="0.25">
      <c r="A126" s="373"/>
      <c r="B126" s="373"/>
      <c r="C126" s="374"/>
      <c r="D126" s="375"/>
      <c r="E126" s="376">
        <v>7000</v>
      </c>
      <c r="F126" s="376">
        <v>7001</v>
      </c>
      <c r="G126" s="377">
        <v>527025495</v>
      </c>
    </row>
    <row r="127" spans="1:7" s="370" customFormat="1" ht="15.6" customHeight="1" x14ac:dyDescent="0.25">
      <c r="A127" s="373"/>
      <c r="B127" s="373"/>
      <c r="C127" s="374"/>
      <c r="D127" s="375"/>
      <c r="E127" s="376"/>
      <c r="F127" s="376">
        <v>7004</v>
      </c>
      <c r="G127" s="377">
        <v>17547000</v>
      </c>
    </row>
    <row r="128" spans="1:7" s="370" customFormat="1" ht="15.6" customHeight="1" x14ac:dyDescent="0.25">
      <c r="A128" s="373"/>
      <c r="B128" s="373"/>
      <c r="C128" s="374"/>
      <c r="D128" s="375"/>
      <c r="E128" s="376"/>
      <c r="F128" s="376">
        <v>7049</v>
      </c>
      <c r="G128" s="377">
        <v>83460000</v>
      </c>
    </row>
    <row r="129" spans="1:7" s="370" customFormat="1" ht="15.6" customHeight="1" x14ac:dyDescent="0.25">
      <c r="A129" s="373"/>
      <c r="B129" s="373"/>
      <c r="C129" s="374"/>
      <c r="D129" s="375"/>
      <c r="E129" s="376">
        <v>7750</v>
      </c>
      <c r="F129" s="376">
        <v>7756</v>
      </c>
      <c r="G129" s="377">
        <v>13868100</v>
      </c>
    </row>
    <row r="130" spans="1:7" s="370" customFormat="1" ht="15.6" customHeight="1" x14ac:dyDescent="0.25">
      <c r="A130" s="373"/>
      <c r="B130" s="373"/>
      <c r="C130" s="374"/>
      <c r="D130" s="375"/>
      <c r="E130" s="376"/>
      <c r="F130" s="376">
        <v>7757</v>
      </c>
      <c r="G130" s="377">
        <v>10525485</v>
      </c>
    </row>
    <row r="131" spans="1:7" s="370" customFormat="1" ht="15.6" customHeight="1" x14ac:dyDescent="0.25">
      <c r="A131" s="373"/>
      <c r="B131" s="373"/>
      <c r="C131" s="374"/>
      <c r="D131" s="375"/>
      <c r="E131" s="376"/>
      <c r="F131" s="376">
        <v>7766</v>
      </c>
      <c r="G131" s="377">
        <v>6580000</v>
      </c>
    </row>
    <row r="132" spans="1:7" s="370" customFormat="1" ht="15.6" customHeight="1" x14ac:dyDescent="0.25">
      <c r="A132" s="373"/>
      <c r="B132" s="373"/>
      <c r="C132" s="374"/>
      <c r="D132" s="375"/>
      <c r="E132" s="376">
        <v>8000</v>
      </c>
      <c r="F132" s="376">
        <v>8006</v>
      </c>
      <c r="G132" s="377">
        <v>1664511311</v>
      </c>
    </row>
    <row r="133" spans="1:7" s="370" customFormat="1" ht="15.6" customHeight="1" x14ac:dyDescent="0.25">
      <c r="A133" s="373"/>
      <c r="B133" s="373"/>
      <c r="C133" s="374"/>
      <c r="D133" s="375" t="s">
        <v>414</v>
      </c>
      <c r="E133" s="376">
        <v>6000</v>
      </c>
      <c r="F133" s="376">
        <v>6001</v>
      </c>
      <c r="G133" s="377">
        <v>8646270625</v>
      </c>
    </row>
    <row r="134" spans="1:7" s="370" customFormat="1" ht="15.6" customHeight="1" x14ac:dyDescent="0.25">
      <c r="A134" s="373"/>
      <c r="B134" s="373"/>
      <c r="C134" s="374"/>
      <c r="D134" s="375"/>
      <c r="E134" s="376">
        <v>6050</v>
      </c>
      <c r="F134" s="376">
        <v>6051</v>
      </c>
      <c r="G134" s="377">
        <v>234781320</v>
      </c>
    </row>
    <row r="135" spans="1:7" s="370" customFormat="1" ht="15.6" customHeight="1" x14ac:dyDescent="0.25">
      <c r="A135" s="373"/>
      <c r="B135" s="373"/>
      <c r="C135" s="374"/>
      <c r="D135" s="375"/>
      <c r="E135" s="376">
        <v>6100</v>
      </c>
      <c r="F135" s="376">
        <v>6101</v>
      </c>
      <c r="G135" s="377">
        <v>94751865</v>
      </c>
    </row>
    <row r="136" spans="1:7" s="370" customFormat="1" ht="15.6" customHeight="1" x14ac:dyDescent="0.25">
      <c r="A136" s="373"/>
      <c r="B136" s="373"/>
      <c r="C136" s="374"/>
      <c r="D136" s="375"/>
      <c r="E136" s="376"/>
      <c r="F136" s="376">
        <v>6102</v>
      </c>
      <c r="G136" s="377">
        <v>1065870000</v>
      </c>
    </row>
    <row r="137" spans="1:7" s="370" customFormat="1" ht="15.6" customHeight="1" x14ac:dyDescent="0.25">
      <c r="A137" s="373"/>
      <c r="B137" s="373"/>
      <c r="C137" s="374"/>
      <c r="D137" s="375"/>
      <c r="E137" s="376"/>
      <c r="F137" s="376">
        <v>6105</v>
      </c>
      <c r="G137" s="377">
        <v>138506000</v>
      </c>
    </row>
    <row r="138" spans="1:7" s="370" customFormat="1" ht="15.6" customHeight="1" x14ac:dyDescent="0.25">
      <c r="A138" s="373"/>
      <c r="B138" s="373"/>
      <c r="C138" s="374"/>
      <c r="D138" s="375"/>
      <c r="E138" s="376"/>
      <c r="F138" s="376">
        <v>6107</v>
      </c>
      <c r="G138" s="377">
        <v>21528000</v>
      </c>
    </row>
    <row r="139" spans="1:7" s="370" customFormat="1" ht="15.6" customHeight="1" x14ac:dyDescent="0.25">
      <c r="A139" s="373"/>
      <c r="B139" s="373"/>
      <c r="C139" s="374"/>
      <c r="D139" s="375"/>
      <c r="E139" s="376"/>
      <c r="F139" s="376">
        <v>6112</v>
      </c>
      <c r="G139" s="377">
        <v>2885038106</v>
      </c>
    </row>
    <row r="140" spans="1:7" s="370" customFormat="1" ht="15.6" customHeight="1" x14ac:dyDescent="0.25">
      <c r="A140" s="373"/>
      <c r="B140" s="373"/>
      <c r="C140" s="374"/>
      <c r="D140" s="375"/>
      <c r="E140" s="376"/>
      <c r="F140" s="376">
        <v>6113</v>
      </c>
      <c r="G140" s="377">
        <v>20124000</v>
      </c>
    </row>
    <row r="141" spans="1:7" s="370" customFormat="1" ht="15.6" customHeight="1" x14ac:dyDescent="0.25">
      <c r="A141" s="373"/>
      <c r="B141" s="373"/>
      <c r="C141" s="374"/>
      <c r="D141" s="375"/>
      <c r="E141" s="376"/>
      <c r="F141" s="376">
        <v>6115</v>
      </c>
      <c r="G141" s="377">
        <v>1616465872</v>
      </c>
    </row>
    <row r="142" spans="1:7" s="370" customFormat="1" ht="15.6" customHeight="1" x14ac:dyDescent="0.25">
      <c r="A142" s="373"/>
      <c r="B142" s="373"/>
      <c r="C142" s="374"/>
      <c r="D142" s="375"/>
      <c r="E142" s="376">
        <v>6150</v>
      </c>
      <c r="F142" s="376">
        <v>6157</v>
      </c>
      <c r="G142" s="377">
        <v>523618000</v>
      </c>
    </row>
    <row r="143" spans="1:7" s="370" customFormat="1" ht="15.6" customHeight="1" x14ac:dyDescent="0.25">
      <c r="A143" s="373"/>
      <c r="B143" s="373"/>
      <c r="C143" s="374"/>
      <c r="D143" s="375"/>
      <c r="E143" s="376"/>
      <c r="F143" s="376">
        <v>6199</v>
      </c>
      <c r="G143" s="377">
        <v>59612000</v>
      </c>
    </row>
    <row r="144" spans="1:7" s="370" customFormat="1" ht="15.6" customHeight="1" x14ac:dyDescent="0.25">
      <c r="A144" s="373"/>
      <c r="B144" s="373"/>
      <c r="C144" s="374"/>
      <c r="D144" s="375"/>
      <c r="E144" s="376">
        <v>6200</v>
      </c>
      <c r="F144" s="376">
        <v>6201</v>
      </c>
      <c r="G144" s="377">
        <v>1004178160</v>
      </c>
    </row>
    <row r="145" spans="1:7" s="370" customFormat="1" ht="15.6" customHeight="1" x14ac:dyDescent="0.25">
      <c r="A145" s="373"/>
      <c r="B145" s="373"/>
      <c r="C145" s="374"/>
      <c r="D145" s="375"/>
      <c r="E145" s="376"/>
      <c r="F145" s="376">
        <v>6249</v>
      </c>
      <c r="G145" s="377">
        <v>198100000</v>
      </c>
    </row>
    <row r="146" spans="1:7" s="370" customFormat="1" ht="15.6" customHeight="1" x14ac:dyDescent="0.25">
      <c r="A146" s="373"/>
      <c r="B146" s="373"/>
      <c r="C146" s="374"/>
      <c r="D146" s="375"/>
      <c r="E146" s="376">
        <v>6250</v>
      </c>
      <c r="F146" s="376">
        <v>6253</v>
      </c>
      <c r="G146" s="377">
        <v>41895090</v>
      </c>
    </row>
    <row r="147" spans="1:7" s="370" customFormat="1" ht="15.6" customHeight="1" x14ac:dyDescent="0.25">
      <c r="A147" s="373"/>
      <c r="B147" s="373"/>
      <c r="C147" s="374"/>
      <c r="D147" s="375"/>
      <c r="E147" s="376"/>
      <c r="F147" s="376">
        <v>6299</v>
      </c>
      <c r="G147" s="377">
        <v>25243000</v>
      </c>
    </row>
    <row r="148" spans="1:7" s="370" customFormat="1" ht="15.6" customHeight="1" x14ac:dyDescent="0.25">
      <c r="A148" s="373"/>
      <c r="B148" s="373"/>
      <c r="C148" s="374"/>
      <c r="D148" s="375"/>
      <c r="E148" s="376">
        <v>6300</v>
      </c>
      <c r="F148" s="376">
        <v>6301</v>
      </c>
      <c r="G148" s="377">
        <v>1813025745</v>
      </c>
    </row>
    <row r="149" spans="1:7" s="370" customFormat="1" ht="15.6" customHeight="1" x14ac:dyDescent="0.25">
      <c r="A149" s="373"/>
      <c r="B149" s="373"/>
      <c r="C149" s="374"/>
      <c r="D149" s="375"/>
      <c r="E149" s="376"/>
      <c r="F149" s="376">
        <v>6302</v>
      </c>
      <c r="G149" s="377">
        <v>314643495</v>
      </c>
    </row>
    <row r="150" spans="1:7" s="370" customFormat="1" ht="15.6" customHeight="1" x14ac:dyDescent="0.25">
      <c r="A150" s="373"/>
      <c r="B150" s="373"/>
      <c r="C150" s="374"/>
      <c r="D150" s="375"/>
      <c r="E150" s="376"/>
      <c r="F150" s="376">
        <v>6303</v>
      </c>
      <c r="G150" s="377">
        <v>104056361</v>
      </c>
    </row>
    <row r="151" spans="1:7" s="370" customFormat="1" ht="15.6" customHeight="1" x14ac:dyDescent="0.25">
      <c r="A151" s="373"/>
      <c r="B151" s="373"/>
      <c r="C151" s="374"/>
      <c r="D151" s="375"/>
      <c r="E151" s="376"/>
      <c r="F151" s="376">
        <v>6304</v>
      </c>
      <c r="G151" s="377">
        <v>104783263</v>
      </c>
    </row>
    <row r="152" spans="1:7" s="370" customFormat="1" ht="15.6" customHeight="1" x14ac:dyDescent="0.25">
      <c r="A152" s="373"/>
      <c r="B152" s="373"/>
      <c r="C152" s="374"/>
      <c r="D152" s="375"/>
      <c r="E152" s="376">
        <v>6400</v>
      </c>
      <c r="F152" s="376">
        <v>6449</v>
      </c>
      <c r="G152" s="377">
        <v>261602000</v>
      </c>
    </row>
    <row r="153" spans="1:7" s="370" customFormat="1" ht="15.6" customHeight="1" x14ac:dyDescent="0.25">
      <c r="A153" s="373"/>
      <c r="B153" s="373"/>
      <c r="C153" s="374"/>
      <c r="D153" s="375"/>
      <c r="E153" s="376">
        <v>6500</v>
      </c>
      <c r="F153" s="376">
        <v>6501</v>
      </c>
      <c r="G153" s="377">
        <v>43927208</v>
      </c>
    </row>
    <row r="154" spans="1:7" s="370" customFormat="1" ht="15.6" customHeight="1" x14ac:dyDescent="0.25">
      <c r="A154" s="373"/>
      <c r="B154" s="373"/>
      <c r="C154" s="374"/>
      <c r="D154" s="375"/>
      <c r="E154" s="376"/>
      <c r="F154" s="376">
        <v>6502</v>
      </c>
      <c r="G154" s="377">
        <v>17430655</v>
      </c>
    </row>
    <row r="155" spans="1:7" s="370" customFormat="1" ht="15.6" customHeight="1" x14ac:dyDescent="0.25">
      <c r="A155" s="373"/>
      <c r="B155" s="373"/>
      <c r="C155" s="374"/>
      <c r="D155" s="375"/>
      <c r="E155" s="376"/>
      <c r="F155" s="376">
        <v>6504</v>
      </c>
      <c r="G155" s="377">
        <v>3974400</v>
      </c>
    </row>
    <row r="156" spans="1:7" s="370" customFormat="1" ht="15.6" customHeight="1" x14ac:dyDescent="0.25">
      <c r="A156" s="373"/>
      <c r="B156" s="373"/>
      <c r="C156" s="374"/>
      <c r="D156" s="375"/>
      <c r="E156" s="376">
        <v>6550</v>
      </c>
      <c r="F156" s="376">
        <v>6551</v>
      </c>
      <c r="G156" s="377">
        <v>137218200</v>
      </c>
    </row>
    <row r="157" spans="1:7" s="370" customFormat="1" ht="15.6" customHeight="1" x14ac:dyDescent="0.25">
      <c r="A157" s="373"/>
      <c r="B157" s="373"/>
      <c r="C157" s="374"/>
      <c r="D157" s="375"/>
      <c r="E157" s="376"/>
      <c r="F157" s="376">
        <v>6552</v>
      </c>
      <c r="G157" s="377">
        <v>7850000</v>
      </c>
    </row>
    <row r="158" spans="1:7" s="370" customFormat="1" ht="15.6" customHeight="1" x14ac:dyDescent="0.25">
      <c r="A158" s="373"/>
      <c r="B158" s="373"/>
      <c r="C158" s="374"/>
      <c r="D158" s="375"/>
      <c r="E158" s="376"/>
      <c r="F158" s="376">
        <v>6599</v>
      </c>
      <c r="G158" s="377">
        <v>294377425</v>
      </c>
    </row>
    <row r="159" spans="1:7" s="370" customFormat="1" ht="15.6" customHeight="1" x14ac:dyDescent="0.25">
      <c r="A159" s="373"/>
      <c r="B159" s="373"/>
      <c r="C159" s="374"/>
      <c r="D159" s="375"/>
      <c r="E159" s="376">
        <v>6600</v>
      </c>
      <c r="F159" s="376">
        <v>6605</v>
      </c>
      <c r="G159" s="377">
        <v>23036002</v>
      </c>
    </row>
    <row r="160" spans="1:7" s="370" customFormat="1" ht="15.6" customHeight="1" x14ac:dyDescent="0.25">
      <c r="A160" s="373"/>
      <c r="B160" s="373"/>
      <c r="C160" s="374"/>
      <c r="D160" s="375"/>
      <c r="E160" s="376"/>
      <c r="F160" s="376">
        <v>6649</v>
      </c>
      <c r="G160" s="377">
        <v>36582051</v>
      </c>
    </row>
    <row r="161" spans="1:7" s="370" customFormat="1" ht="15.6" customHeight="1" x14ac:dyDescent="0.25">
      <c r="A161" s="373"/>
      <c r="B161" s="373"/>
      <c r="C161" s="374"/>
      <c r="D161" s="375"/>
      <c r="E161" s="376">
        <v>6650</v>
      </c>
      <c r="F161" s="376">
        <v>6652</v>
      </c>
      <c r="G161" s="377">
        <v>2000000</v>
      </c>
    </row>
    <row r="162" spans="1:7" s="370" customFormat="1" ht="15.6" customHeight="1" x14ac:dyDescent="0.25">
      <c r="A162" s="373"/>
      <c r="B162" s="373"/>
      <c r="C162" s="374"/>
      <c r="D162" s="375"/>
      <c r="E162" s="376"/>
      <c r="F162" s="376">
        <v>6699</v>
      </c>
      <c r="G162" s="377">
        <v>2470000</v>
      </c>
    </row>
    <row r="163" spans="1:7" s="370" customFormat="1" ht="15.6" customHeight="1" x14ac:dyDescent="0.25">
      <c r="A163" s="373"/>
      <c r="B163" s="373"/>
      <c r="C163" s="374"/>
      <c r="D163" s="375"/>
      <c r="E163" s="376">
        <v>6700</v>
      </c>
      <c r="F163" s="376">
        <v>6701</v>
      </c>
      <c r="G163" s="377">
        <v>16550000</v>
      </c>
    </row>
    <row r="164" spans="1:7" s="370" customFormat="1" ht="15.6" customHeight="1" x14ac:dyDescent="0.25">
      <c r="A164" s="373"/>
      <c r="B164" s="373"/>
      <c r="C164" s="374"/>
      <c r="D164" s="375"/>
      <c r="E164" s="376"/>
      <c r="F164" s="376">
        <v>6702</v>
      </c>
      <c r="G164" s="377">
        <v>37340000</v>
      </c>
    </row>
    <row r="165" spans="1:7" s="370" customFormat="1" ht="15.6" customHeight="1" x14ac:dyDescent="0.25">
      <c r="A165" s="373"/>
      <c r="B165" s="373"/>
      <c r="C165" s="374"/>
      <c r="D165" s="375"/>
      <c r="E165" s="376"/>
      <c r="F165" s="376">
        <v>6703</v>
      </c>
      <c r="G165" s="377">
        <v>26150000</v>
      </c>
    </row>
    <row r="166" spans="1:7" s="370" customFormat="1" ht="15.6" customHeight="1" x14ac:dyDescent="0.25">
      <c r="A166" s="373"/>
      <c r="B166" s="373"/>
      <c r="C166" s="374"/>
      <c r="D166" s="375"/>
      <c r="E166" s="376">
        <v>6750</v>
      </c>
      <c r="F166" s="376">
        <v>6751</v>
      </c>
      <c r="G166" s="377">
        <v>7164000</v>
      </c>
    </row>
    <row r="167" spans="1:7" s="370" customFormat="1" ht="15.6" customHeight="1" x14ac:dyDescent="0.25">
      <c r="A167" s="373"/>
      <c r="B167" s="373"/>
      <c r="C167" s="374"/>
      <c r="D167" s="375"/>
      <c r="E167" s="376"/>
      <c r="F167" s="376">
        <v>6757</v>
      </c>
      <c r="G167" s="377">
        <v>4252000</v>
      </c>
    </row>
    <row r="168" spans="1:7" s="370" customFormat="1" ht="15.6" customHeight="1" x14ac:dyDescent="0.25">
      <c r="A168" s="373"/>
      <c r="B168" s="373"/>
      <c r="C168" s="374"/>
      <c r="D168" s="375"/>
      <c r="E168" s="376">
        <v>6900</v>
      </c>
      <c r="F168" s="376">
        <v>6912</v>
      </c>
      <c r="G168" s="377">
        <v>52565000</v>
      </c>
    </row>
    <row r="169" spans="1:7" s="370" customFormat="1" ht="15.6" customHeight="1" x14ac:dyDescent="0.25">
      <c r="A169" s="373"/>
      <c r="B169" s="373"/>
      <c r="C169" s="374"/>
      <c r="D169" s="375"/>
      <c r="E169" s="376"/>
      <c r="F169" s="376">
        <v>6913</v>
      </c>
      <c r="G169" s="377">
        <v>3950000</v>
      </c>
    </row>
    <row r="170" spans="1:7" s="370" customFormat="1" ht="15.6" customHeight="1" x14ac:dyDescent="0.25">
      <c r="A170" s="373"/>
      <c r="B170" s="373"/>
      <c r="C170" s="374"/>
      <c r="D170" s="375"/>
      <c r="E170" s="376"/>
      <c r="F170" s="376">
        <v>6921</v>
      </c>
      <c r="G170" s="377">
        <v>9685000</v>
      </c>
    </row>
    <row r="171" spans="1:7" s="370" customFormat="1" ht="15.6" customHeight="1" x14ac:dyDescent="0.25">
      <c r="A171" s="373"/>
      <c r="B171" s="373"/>
      <c r="C171" s="374"/>
      <c r="D171" s="375"/>
      <c r="E171" s="376">
        <v>7000</v>
      </c>
      <c r="F171" s="376">
        <v>7001</v>
      </c>
      <c r="G171" s="377">
        <v>208347815</v>
      </c>
    </row>
    <row r="172" spans="1:7" s="370" customFormat="1" ht="15.6" customHeight="1" x14ac:dyDescent="0.25">
      <c r="A172" s="373"/>
      <c r="B172" s="373"/>
      <c r="C172" s="374"/>
      <c r="D172" s="375"/>
      <c r="E172" s="376"/>
      <c r="F172" s="376">
        <v>7004</v>
      </c>
      <c r="G172" s="377">
        <v>7650000</v>
      </c>
    </row>
    <row r="173" spans="1:7" s="370" customFormat="1" ht="15.6" customHeight="1" x14ac:dyDescent="0.25">
      <c r="A173" s="373"/>
      <c r="B173" s="373"/>
      <c r="C173" s="374"/>
      <c r="D173" s="375"/>
      <c r="E173" s="376"/>
      <c r="F173" s="376">
        <v>7049</v>
      </c>
      <c r="G173" s="377">
        <v>62070000</v>
      </c>
    </row>
    <row r="174" spans="1:7" s="370" customFormat="1" ht="15.6" customHeight="1" x14ac:dyDescent="0.25">
      <c r="A174" s="373"/>
      <c r="B174" s="373"/>
      <c r="C174" s="374"/>
      <c r="D174" s="375"/>
      <c r="E174" s="376">
        <v>7750</v>
      </c>
      <c r="F174" s="376">
        <v>7756</v>
      </c>
      <c r="G174" s="377">
        <v>5060000</v>
      </c>
    </row>
    <row r="175" spans="1:7" s="370" customFormat="1" ht="15.6" customHeight="1" x14ac:dyDescent="0.25">
      <c r="A175" s="373"/>
      <c r="B175" s="373"/>
      <c r="C175" s="374"/>
      <c r="D175" s="375"/>
      <c r="E175" s="376"/>
      <c r="F175" s="376">
        <v>7766</v>
      </c>
      <c r="G175" s="377">
        <v>9789000</v>
      </c>
    </row>
    <row r="176" spans="1:7" s="370" customFormat="1" ht="15.6" customHeight="1" x14ac:dyDescent="0.25">
      <c r="A176" s="373"/>
      <c r="B176" s="373"/>
      <c r="C176" s="374"/>
      <c r="D176" s="375" t="s">
        <v>415</v>
      </c>
      <c r="E176" s="376">
        <v>6000</v>
      </c>
      <c r="F176" s="376">
        <v>6001</v>
      </c>
      <c r="G176" s="377">
        <v>317560870</v>
      </c>
    </row>
    <row r="177" spans="1:7" s="370" customFormat="1" ht="15.6" customHeight="1" x14ac:dyDescent="0.25">
      <c r="A177" s="373"/>
      <c r="B177" s="373"/>
      <c r="C177" s="374"/>
      <c r="D177" s="375"/>
      <c r="E177" s="376">
        <v>6050</v>
      </c>
      <c r="F177" s="376">
        <v>6051</v>
      </c>
      <c r="G177" s="377">
        <v>49638299</v>
      </c>
    </row>
    <row r="178" spans="1:7" s="370" customFormat="1" ht="15.6" customHeight="1" x14ac:dyDescent="0.25">
      <c r="A178" s="373"/>
      <c r="B178" s="373"/>
      <c r="C178" s="374"/>
      <c r="D178" s="375"/>
      <c r="E178" s="376">
        <v>6100</v>
      </c>
      <c r="F178" s="376">
        <v>6101</v>
      </c>
      <c r="G178" s="377">
        <v>8190220</v>
      </c>
    </row>
    <row r="179" spans="1:7" s="370" customFormat="1" ht="15.6" customHeight="1" x14ac:dyDescent="0.25">
      <c r="A179" s="373"/>
      <c r="B179" s="373"/>
      <c r="C179" s="374"/>
      <c r="D179" s="375"/>
      <c r="E179" s="376"/>
      <c r="F179" s="376">
        <v>6102</v>
      </c>
      <c r="G179" s="377">
        <v>37440000</v>
      </c>
    </row>
    <row r="180" spans="1:7" s="370" customFormat="1" ht="15.6" customHeight="1" x14ac:dyDescent="0.25">
      <c r="A180" s="373"/>
      <c r="B180" s="373"/>
      <c r="C180" s="374"/>
      <c r="D180" s="375"/>
      <c r="E180" s="376"/>
      <c r="F180" s="376">
        <v>6105</v>
      </c>
      <c r="G180" s="377">
        <v>75593700</v>
      </c>
    </row>
    <row r="181" spans="1:7" s="370" customFormat="1" ht="15.6" customHeight="1" x14ac:dyDescent="0.25">
      <c r="A181" s="373"/>
      <c r="B181" s="373"/>
      <c r="C181" s="374"/>
      <c r="D181" s="375"/>
      <c r="E181" s="376"/>
      <c r="F181" s="376">
        <v>6112</v>
      </c>
      <c r="G181" s="377">
        <v>79684060</v>
      </c>
    </row>
    <row r="182" spans="1:7" s="370" customFormat="1" ht="15.6" customHeight="1" x14ac:dyDescent="0.25">
      <c r="A182" s="373"/>
      <c r="B182" s="373"/>
      <c r="C182" s="374"/>
      <c r="D182" s="375"/>
      <c r="E182" s="376"/>
      <c r="F182" s="376">
        <v>6115</v>
      </c>
      <c r="G182" s="377">
        <v>21827444</v>
      </c>
    </row>
    <row r="183" spans="1:7" s="370" customFormat="1" ht="15.6" customHeight="1" x14ac:dyDescent="0.25">
      <c r="A183" s="373"/>
      <c r="B183" s="373"/>
      <c r="C183" s="374"/>
      <c r="D183" s="375"/>
      <c r="E183" s="376"/>
      <c r="F183" s="376">
        <v>6124</v>
      </c>
      <c r="G183" s="377">
        <v>15163200</v>
      </c>
    </row>
    <row r="184" spans="1:7" s="370" customFormat="1" ht="15.6" customHeight="1" x14ac:dyDescent="0.25">
      <c r="A184" s="373"/>
      <c r="B184" s="373"/>
      <c r="C184" s="374"/>
      <c r="D184" s="375"/>
      <c r="E184" s="376">
        <v>6200</v>
      </c>
      <c r="F184" s="376">
        <v>6201</v>
      </c>
      <c r="G184" s="377">
        <v>32685000</v>
      </c>
    </row>
    <row r="185" spans="1:7" s="370" customFormat="1" ht="15.6" customHeight="1" x14ac:dyDescent="0.25">
      <c r="A185" s="373"/>
      <c r="B185" s="373"/>
      <c r="C185" s="374"/>
      <c r="D185" s="375"/>
      <c r="E185" s="376">
        <v>6300</v>
      </c>
      <c r="F185" s="376">
        <v>6301</v>
      </c>
      <c r="G185" s="377">
        <v>60792567</v>
      </c>
    </row>
    <row r="186" spans="1:7" s="370" customFormat="1" ht="15.6" customHeight="1" x14ac:dyDescent="0.25">
      <c r="A186" s="373"/>
      <c r="B186" s="373"/>
      <c r="C186" s="374"/>
      <c r="D186" s="375"/>
      <c r="E186" s="376"/>
      <c r="F186" s="376">
        <v>6302</v>
      </c>
      <c r="G186" s="377">
        <v>10665792</v>
      </c>
    </row>
    <row r="187" spans="1:7" s="370" customFormat="1" ht="15.6" customHeight="1" x14ac:dyDescent="0.25">
      <c r="A187" s="373"/>
      <c r="B187" s="373"/>
      <c r="C187" s="374"/>
      <c r="D187" s="375"/>
      <c r="E187" s="376"/>
      <c r="F187" s="376">
        <v>6303</v>
      </c>
      <c r="G187" s="377">
        <v>3311433</v>
      </c>
    </row>
    <row r="188" spans="1:7" s="370" customFormat="1" ht="15.6" customHeight="1" x14ac:dyDescent="0.25">
      <c r="A188" s="373"/>
      <c r="B188" s="373"/>
      <c r="C188" s="374"/>
      <c r="D188" s="375"/>
      <c r="E188" s="376"/>
      <c r="F188" s="376">
        <v>6304</v>
      </c>
      <c r="G188" s="377">
        <v>3773450</v>
      </c>
    </row>
    <row r="189" spans="1:7" s="370" customFormat="1" ht="15.6" customHeight="1" x14ac:dyDescent="0.25">
      <c r="A189" s="373"/>
      <c r="B189" s="373"/>
      <c r="C189" s="374"/>
      <c r="D189" s="375"/>
      <c r="E189" s="376">
        <v>6500</v>
      </c>
      <c r="F189" s="376">
        <v>6501</v>
      </c>
      <c r="G189" s="377">
        <v>21215003</v>
      </c>
    </row>
    <row r="190" spans="1:7" s="370" customFormat="1" ht="15.6" customHeight="1" x14ac:dyDescent="0.25">
      <c r="A190" s="373"/>
      <c r="B190" s="373"/>
      <c r="C190" s="374"/>
      <c r="D190" s="375"/>
      <c r="E190" s="376"/>
      <c r="F190" s="376">
        <v>6502</v>
      </c>
      <c r="G190" s="377">
        <v>5465465</v>
      </c>
    </row>
    <row r="191" spans="1:7" s="370" customFormat="1" ht="15.6" customHeight="1" x14ac:dyDescent="0.25">
      <c r="A191" s="373"/>
      <c r="B191" s="373"/>
      <c r="C191" s="374"/>
      <c r="D191" s="375"/>
      <c r="E191" s="376">
        <v>6550</v>
      </c>
      <c r="F191" s="376">
        <v>6551</v>
      </c>
      <c r="G191" s="377">
        <v>44408898</v>
      </c>
    </row>
    <row r="192" spans="1:7" s="370" customFormat="1" ht="15.6" customHeight="1" x14ac:dyDescent="0.25">
      <c r="A192" s="373"/>
      <c r="B192" s="373"/>
      <c r="C192" s="374"/>
      <c r="D192" s="375"/>
      <c r="E192" s="376"/>
      <c r="F192" s="376">
        <v>6599</v>
      </c>
      <c r="G192" s="377">
        <v>6964000</v>
      </c>
    </row>
    <row r="193" spans="1:7" s="370" customFormat="1" ht="15.6" customHeight="1" x14ac:dyDescent="0.25">
      <c r="A193" s="373"/>
      <c r="B193" s="373"/>
      <c r="C193" s="374"/>
      <c r="D193" s="375"/>
      <c r="E193" s="376">
        <v>6600</v>
      </c>
      <c r="F193" s="376">
        <v>6603</v>
      </c>
      <c r="G193" s="377">
        <v>500000</v>
      </c>
    </row>
    <row r="194" spans="1:7" s="370" customFormat="1" ht="15.6" customHeight="1" x14ac:dyDescent="0.25">
      <c r="A194" s="373"/>
      <c r="B194" s="373"/>
      <c r="C194" s="374"/>
      <c r="D194" s="375"/>
      <c r="E194" s="376"/>
      <c r="F194" s="376">
        <v>6605</v>
      </c>
      <c r="G194" s="377">
        <v>8477181</v>
      </c>
    </row>
    <row r="195" spans="1:7" s="370" customFormat="1" ht="15.6" customHeight="1" x14ac:dyDescent="0.25">
      <c r="A195" s="373"/>
      <c r="B195" s="373"/>
      <c r="C195" s="374"/>
      <c r="D195" s="375"/>
      <c r="E195" s="376"/>
      <c r="F195" s="376">
        <v>6608</v>
      </c>
      <c r="G195" s="377">
        <v>1379600</v>
      </c>
    </row>
    <row r="196" spans="1:7" s="370" customFormat="1" ht="15.6" customHeight="1" x14ac:dyDescent="0.25">
      <c r="A196" s="373"/>
      <c r="B196" s="373"/>
      <c r="C196" s="374"/>
      <c r="D196" s="375"/>
      <c r="E196" s="376"/>
      <c r="F196" s="376">
        <v>6649</v>
      </c>
      <c r="G196" s="377">
        <v>1584000</v>
      </c>
    </row>
    <row r="197" spans="1:7" s="370" customFormat="1" ht="15.6" customHeight="1" x14ac:dyDescent="0.25">
      <c r="A197" s="373"/>
      <c r="B197" s="373"/>
      <c r="C197" s="374"/>
      <c r="D197" s="375"/>
      <c r="E197" s="376">
        <v>6650</v>
      </c>
      <c r="F197" s="376">
        <v>6652</v>
      </c>
      <c r="G197" s="377">
        <v>61500000</v>
      </c>
    </row>
    <row r="198" spans="1:7" s="370" customFormat="1" ht="15.6" customHeight="1" x14ac:dyDescent="0.25">
      <c r="A198" s="373"/>
      <c r="B198" s="373"/>
      <c r="C198" s="374"/>
      <c r="D198" s="375"/>
      <c r="E198" s="376"/>
      <c r="F198" s="376">
        <v>6653</v>
      </c>
      <c r="G198" s="377">
        <v>13722000</v>
      </c>
    </row>
    <row r="199" spans="1:7" s="370" customFormat="1" ht="15.6" customHeight="1" x14ac:dyDescent="0.25">
      <c r="A199" s="373"/>
      <c r="B199" s="373"/>
      <c r="C199" s="374"/>
      <c r="D199" s="375"/>
      <c r="E199" s="376"/>
      <c r="F199" s="376">
        <v>6655</v>
      </c>
      <c r="G199" s="377">
        <v>81000000</v>
      </c>
    </row>
    <row r="200" spans="1:7" s="370" customFormat="1" ht="15.6" customHeight="1" x14ac:dyDescent="0.25">
      <c r="A200" s="373"/>
      <c r="B200" s="373"/>
      <c r="C200" s="374"/>
      <c r="D200" s="375"/>
      <c r="E200" s="376"/>
      <c r="F200" s="376">
        <v>6658</v>
      </c>
      <c r="G200" s="377">
        <v>105687680</v>
      </c>
    </row>
    <row r="201" spans="1:7" s="370" customFormat="1" ht="15.6" customHeight="1" x14ac:dyDescent="0.25">
      <c r="A201" s="373"/>
      <c r="B201" s="373"/>
      <c r="C201" s="374"/>
      <c r="D201" s="375"/>
      <c r="E201" s="376"/>
      <c r="F201" s="376">
        <v>6699</v>
      </c>
      <c r="G201" s="377">
        <v>78052500</v>
      </c>
    </row>
    <row r="202" spans="1:7" s="370" customFormat="1" ht="15.6" customHeight="1" x14ac:dyDescent="0.25">
      <c r="A202" s="373"/>
      <c r="B202" s="373"/>
      <c r="C202" s="374"/>
      <c r="D202" s="375"/>
      <c r="E202" s="376">
        <v>6700</v>
      </c>
      <c r="F202" s="376">
        <v>6701</v>
      </c>
      <c r="G202" s="377">
        <v>540000</v>
      </c>
    </row>
    <row r="203" spans="1:7" s="370" customFormat="1" ht="15.6" customHeight="1" x14ac:dyDescent="0.25">
      <c r="A203" s="373"/>
      <c r="B203" s="373"/>
      <c r="C203" s="374"/>
      <c r="D203" s="375"/>
      <c r="E203" s="376"/>
      <c r="F203" s="376">
        <v>6702</v>
      </c>
      <c r="G203" s="377">
        <v>4940000</v>
      </c>
    </row>
    <row r="204" spans="1:7" s="370" customFormat="1" ht="15.6" customHeight="1" x14ac:dyDescent="0.25">
      <c r="A204" s="373"/>
      <c r="B204" s="373"/>
      <c r="C204" s="374"/>
      <c r="D204" s="375"/>
      <c r="E204" s="376"/>
      <c r="F204" s="376">
        <v>6703</v>
      </c>
      <c r="G204" s="377">
        <v>3000000</v>
      </c>
    </row>
    <row r="205" spans="1:7" s="370" customFormat="1" ht="15.6" customHeight="1" x14ac:dyDescent="0.25">
      <c r="A205" s="373"/>
      <c r="B205" s="373"/>
      <c r="C205" s="374"/>
      <c r="D205" s="375"/>
      <c r="E205" s="376">
        <v>6750</v>
      </c>
      <c r="F205" s="376">
        <v>6751</v>
      </c>
      <c r="G205" s="377">
        <v>25844000</v>
      </c>
    </row>
    <row r="206" spans="1:7" s="370" customFormat="1" ht="15.6" customHeight="1" x14ac:dyDescent="0.25">
      <c r="A206" s="373"/>
      <c r="B206" s="373"/>
      <c r="C206" s="374"/>
      <c r="D206" s="375"/>
      <c r="E206" s="376"/>
      <c r="F206" s="376">
        <v>6799</v>
      </c>
      <c r="G206" s="377">
        <v>13575000</v>
      </c>
    </row>
    <row r="207" spans="1:7" s="370" customFormat="1" ht="15.6" customHeight="1" x14ac:dyDescent="0.25">
      <c r="A207" s="373"/>
      <c r="B207" s="373"/>
      <c r="C207" s="374"/>
      <c r="D207" s="375"/>
      <c r="E207" s="376">
        <v>6900</v>
      </c>
      <c r="F207" s="376">
        <v>6912</v>
      </c>
      <c r="G207" s="377">
        <v>13620000</v>
      </c>
    </row>
    <row r="208" spans="1:7" s="370" customFormat="1" ht="15.6" customHeight="1" x14ac:dyDescent="0.25">
      <c r="A208" s="373"/>
      <c r="B208" s="373"/>
      <c r="C208" s="374"/>
      <c r="D208" s="375"/>
      <c r="E208" s="376"/>
      <c r="F208" s="376">
        <v>6913</v>
      </c>
      <c r="G208" s="377">
        <v>18410000</v>
      </c>
    </row>
    <row r="209" spans="1:7" s="370" customFormat="1" ht="15.6" customHeight="1" x14ac:dyDescent="0.25">
      <c r="A209" s="373"/>
      <c r="B209" s="373"/>
      <c r="C209" s="374"/>
      <c r="D209" s="375"/>
      <c r="E209" s="376">
        <v>7000</v>
      </c>
      <c r="F209" s="376">
        <v>7001</v>
      </c>
      <c r="G209" s="377">
        <v>66343400</v>
      </c>
    </row>
    <row r="210" spans="1:7" s="370" customFormat="1" ht="15.6" customHeight="1" x14ac:dyDescent="0.25">
      <c r="A210" s="373"/>
      <c r="B210" s="373"/>
      <c r="C210" s="374"/>
      <c r="D210" s="375"/>
      <c r="E210" s="376">
        <v>7750</v>
      </c>
      <c r="F210" s="376">
        <v>7756</v>
      </c>
      <c r="G210" s="377">
        <v>66000</v>
      </c>
    </row>
    <row r="211" spans="1:7" s="370" customFormat="1" ht="15.6" customHeight="1" x14ac:dyDescent="0.25">
      <c r="A211" s="373"/>
      <c r="B211" s="373"/>
      <c r="C211" s="374"/>
      <c r="D211" s="375"/>
      <c r="E211" s="376">
        <v>8000</v>
      </c>
      <c r="F211" s="376">
        <v>8006</v>
      </c>
      <c r="G211" s="377">
        <v>892112130</v>
      </c>
    </row>
    <row r="212" spans="1:7" s="370" customFormat="1" ht="15.6" customHeight="1" x14ac:dyDescent="0.25">
      <c r="A212" s="373"/>
      <c r="B212" s="373"/>
      <c r="C212" s="374"/>
      <c r="D212" s="375" t="s">
        <v>416</v>
      </c>
      <c r="E212" s="376">
        <v>7750</v>
      </c>
      <c r="F212" s="376">
        <v>7766</v>
      </c>
      <c r="G212" s="377">
        <v>1537160000</v>
      </c>
    </row>
    <row r="213" spans="1:7" s="370" customFormat="1" ht="15.6" customHeight="1" x14ac:dyDescent="0.25">
      <c r="A213" s="373"/>
      <c r="B213" s="373"/>
      <c r="C213" s="374"/>
      <c r="D213" s="375" t="s">
        <v>417</v>
      </c>
      <c r="E213" s="376">
        <v>7750</v>
      </c>
      <c r="F213" s="376">
        <v>7766</v>
      </c>
      <c r="G213" s="377">
        <v>74625000</v>
      </c>
    </row>
    <row r="214" spans="1:7" s="370" customFormat="1" ht="15.6" customHeight="1" x14ac:dyDescent="0.25">
      <c r="A214" s="373"/>
      <c r="B214" s="373"/>
      <c r="C214" s="374"/>
      <c r="D214" s="375" t="s">
        <v>418</v>
      </c>
      <c r="E214" s="376">
        <v>6100</v>
      </c>
      <c r="F214" s="376">
        <v>6149</v>
      </c>
      <c r="G214" s="377">
        <v>36504000</v>
      </c>
    </row>
    <row r="215" spans="1:7" s="370" customFormat="1" ht="15.6" customHeight="1" x14ac:dyDescent="0.25">
      <c r="A215" s="373"/>
      <c r="B215" s="373"/>
      <c r="C215" s="374"/>
      <c r="D215" s="375"/>
      <c r="E215" s="376">
        <v>7000</v>
      </c>
      <c r="F215" s="376">
        <v>7001</v>
      </c>
      <c r="G215" s="377">
        <v>15644000</v>
      </c>
    </row>
    <row r="216" spans="1:7" s="370" customFormat="1" ht="15.6" customHeight="1" x14ac:dyDescent="0.25">
      <c r="A216" s="373"/>
      <c r="B216" s="373"/>
      <c r="C216" s="374">
        <v>130</v>
      </c>
      <c r="D216" s="375">
        <v>131</v>
      </c>
      <c r="E216" s="376">
        <v>6000</v>
      </c>
      <c r="F216" s="376">
        <v>6001</v>
      </c>
      <c r="G216" s="377">
        <v>522756000</v>
      </c>
    </row>
    <row r="217" spans="1:7" s="370" customFormat="1" ht="15.6" customHeight="1" x14ac:dyDescent="0.25">
      <c r="A217" s="373"/>
      <c r="B217" s="373"/>
      <c r="C217" s="374"/>
      <c r="D217" s="375"/>
      <c r="E217" s="376">
        <v>6100</v>
      </c>
      <c r="F217" s="376">
        <v>6101</v>
      </c>
      <c r="G217" s="377">
        <v>7956000</v>
      </c>
    </row>
    <row r="218" spans="1:7" s="370" customFormat="1" ht="15.6" customHeight="1" x14ac:dyDescent="0.25">
      <c r="A218" s="373"/>
      <c r="B218" s="373"/>
      <c r="C218" s="374"/>
      <c r="D218" s="375"/>
      <c r="E218" s="376"/>
      <c r="F218" s="376">
        <v>6102</v>
      </c>
      <c r="G218" s="377">
        <v>74880000</v>
      </c>
    </row>
    <row r="219" spans="1:7" s="370" customFormat="1" ht="15.6" customHeight="1" x14ac:dyDescent="0.25">
      <c r="A219" s="373"/>
      <c r="B219" s="373"/>
      <c r="C219" s="374"/>
      <c r="D219" s="375"/>
      <c r="E219" s="376"/>
      <c r="F219" s="376">
        <v>6112</v>
      </c>
      <c r="G219" s="377">
        <v>206267069</v>
      </c>
    </row>
    <row r="220" spans="1:7" s="370" customFormat="1" ht="15.6" customHeight="1" x14ac:dyDescent="0.25">
      <c r="A220" s="373"/>
      <c r="B220" s="373"/>
      <c r="C220" s="374"/>
      <c r="D220" s="375"/>
      <c r="E220" s="376"/>
      <c r="F220" s="376">
        <v>6113</v>
      </c>
      <c r="G220" s="377">
        <v>1872000</v>
      </c>
    </row>
    <row r="221" spans="1:7" s="370" customFormat="1" ht="15.6" customHeight="1" x14ac:dyDescent="0.25">
      <c r="A221" s="373"/>
      <c r="B221" s="373"/>
      <c r="C221" s="374"/>
      <c r="D221" s="375"/>
      <c r="E221" s="376"/>
      <c r="F221" s="376">
        <v>6114</v>
      </c>
      <c r="G221" s="377">
        <v>5578750</v>
      </c>
    </row>
    <row r="222" spans="1:7" s="370" customFormat="1" ht="15.6" customHeight="1" x14ac:dyDescent="0.25">
      <c r="A222" s="373"/>
      <c r="B222" s="373"/>
      <c r="C222" s="374"/>
      <c r="D222" s="375"/>
      <c r="E222" s="376"/>
      <c r="F222" s="376">
        <v>6115</v>
      </c>
      <c r="G222" s="377">
        <v>1710072</v>
      </c>
    </row>
    <row r="223" spans="1:7" s="370" customFormat="1" ht="15.6" customHeight="1" x14ac:dyDescent="0.25">
      <c r="A223" s="373"/>
      <c r="B223" s="373"/>
      <c r="C223" s="374"/>
      <c r="D223" s="375"/>
      <c r="E223" s="376">
        <v>6200</v>
      </c>
      <c r="F223" s="376">
        <v>6201</v>
      </c>
      <c r="G223" s="377">
        <v>313653600</v>
      </c>
    </row>
    <row r="224" spans="1:7" s="370" customFormat="1" ht="15.6" customHeight="1" x14ac:dyDescent="0.25">
      <c r="A224" s="373"/>
      <c r="B224" s="373"/>
      <c r="C224" s="374"/>
      <c r="D224" s="375"/>
      <c r="E224" s="376">
        <v>6250</v>
      </c>
      <c r="F224" s="376">
        <v>6299</v>
      </c>
      <c r="G224" s="377">
        <v>9145000</v>
      </c>
    </row>
    <row r="225" spans="1:7" s="370" customFormat="1" ht="15.6" customHeight="1" x14ac:dyDescent="0.25">
      <c r="A225" s="373"/>
      <c r="B225" s="373"/>
      <c r="C225" s="374"/>
      <c r="D225" s="375"/>
      <c r="E225" s="376">
        <v>6300</v>
      </c>
      <c r="F225" s="376">
        <v>6301</v>
      </c>
      <c r="G225" s="377">
        <v>93173863</v>
      </c>
    </row>
    <row r="226" spans="1:7" s="370" customFormat="1" ht="15.6" customHeight="1" x14ac:dyDescent="0.25">
      <c r="A226" s="373"/>
      <c r="B226" s="373"/>
      <c r="C226" s="374"/>
      <c r="D226" s="375"/>
      <c r="E226" s="376"/>
      <c r="F226" s="376">
        <v>6302</v>
      </c>
      <c r="G226" s="377">
        <v>15972662</v>
      </c>
    </row>
    <row r="227" spans="1:7" s="370" customFormat="1" ht="15.6" customHeight="1" x14ac:dyDescent="0.25">
      <c r="A227" s="373"/>
      <c r="B227" s="373"/>
      <c r="C227" s="374"/>
      <c r="D227" s="375"/>
      <c r="E227" s="376"/>
      <c r="F227" s="376">
        <v>6304</v>
      </c>
      <c r="G227" s="377">
        <v>5324221</v>
      </c>
    </row>
    <row r="228" spans="1:7" s="370" customFormat="1" ht="15.6" customHeight="1" x14ac:dyDescent="0.25">
      <c r="A228" s="373"/>
      <c r="B228" s="373"/>
      <c r="C228" s="374"/>
      <c r="D228" s="375"/>
      <c r="E228" s="376">
        <v>6400</v>
      </c>
      <c r="F228" s="376">
        <v>6404</v>
      </c>
      <c r="G228" s="377">
        <v>86780291</v>
      </c>
    </row>
    <row r="229" spans="1:7" s="370" customFormat="1" ht="15.6" customHeight="1" x14ac:dyDescent="0.25">
      <c r="A229" s="373"/>
      <c r="B229" s="373"/>
      <c r="C229" s="374"/>
      <c r="D229" s="375"/>
      <c r="E229" s="376"/>
      <c r="F229" s="376">
        <v>6449</v>
      </c>
      <c r="G229" s="377">
        <v>5095000</v>
      </c>
    </row>
    <row r="230" spans="1:7" s="370" customFormat="1" ht="15.6" customHeight="1" x14ac:dyDescent="0.25">
      <c r="A230" s="373"/>
      <c r="B230" s="373"/>
      <c r="C230" s="374"/>
      <c r="D230" s="375"/>
      <c r="E230" s="376">
        <v>6500</v>
      </c>
      <c r="F230" s="376">
        <v>6501</v>
      </c>
      <c r="G230" s="377">
        <v>3175381</v>
      </c>
    </row>
    <row r="231" spans="1:7" s="370" customFormat="1" ht="15.6" customHeight="1" x14ac:dyDescent="0.25">
      <c r="A231" s="373"/>
      <c r="B231" s="373"/>
      <c r="C231" s="374"/>
      <c r="D231" s="375"/>
      <c r="E231" s="376"/>
      <c r="F231" s="376">
        <v>6502</v>
      </c>
      <c r="G231" s="377">
        <v>520140</v>
      </c>
    </row>
    <row r="232" spans="1:7" s="370" customFormat="1" ht="15.6" customHeight="1" x14ac:dyDescent="0.25">
      <c r="A232" s="373"/>
      <c r="B232" s="373"/>
      <c r="C232" s="374"/>
      <c r="D232" s="375"/>
      <c r="E232" s="376">
        <v>6550</v>
      </c>
      <c r="F232" s="376">
        <v>6551</v>
      </c>
      <c r="G232" s="377">
        <v>28085000</v>
      </c>
    </row>
    <row r="233" spans="1:7" s="370" customFormat="1" ht="15.6" customHeight="1" x14ac:dyDescent="0.25">
      <c r="A233" s="373"/>
      <c r="B233" s="373"/>
      <c r="C233" s="374"/>
      <c r="D233" s="375"/>
      <c r="E233" s="376"/>
      <c r="F233" s="376">
        <v>6552</v>
      </c>
      <c r="G233" s="377">
        <v>81315000</v>
      </c>
    </row>
    <row r="234" spans="1:7" s="370" customFormat="1" ht="15.6" customHeight="1" x14ac:dyDescent="0.25">
      <c r="A234" s="373"/>
      <c r="B234" s="373"/>
      <c r="C234" s="374"/>
      <c r="D234" s="375"/>
      <c r="E234" s="376"/>
      <c r="F234" s="376">
        <v>6599</v>
      </c>
      <c r="G234" s="377">
        <v>59103000</v>
      </c>
    </row>
    <row r="235" spans="1:7" s="370" customFormat="1" ht="15.6" customHeight="1" x14ac:dyDescent="0.25">
      <c r="A235" s="373"/>
      <c r="B235" s="373"/>
      <c r="C235" s="374"/>
      <c r="D235" s="375"/>
      <c r="E235" s="376">
        <v>6600</v>
      </c>
      <c r="F235" s="376">
        <v>6601</v>
      </c>
      <c r="G235" s="377">
        <v>896691</v>
      </c>
    </row>
    <row r="236" spans="1:7" s="370" customFormat="1" ht="15.6" customHeight="1" x14ac:dyDescent="0.25">
      <c r="A236" s="373"/>
      <c r="B236" s="373"/>
      <c r="C236" s="374"/>
      <c r="D236" s="375"/>
      <c r="E236" s="376"/>
      <c r="F236" s="376">
        <v>6605</v>
      </c>
      <c r="G236" s="377">
        <v>10405710</v>
      </c>
    </row>
    <row r="237" spans="1:7" s="370" customFormat="1" ht="15.6" customHeight="1" x14ac:dyDescent="0.25">
      <c r="A237" s="373"/>
      <c r="B237" s="373"/>
      <c r="C237" s="374"/>
      <c r="D237" s="375"/>
      <c r="E237" s="376"/>
      <c r="F237" s="376">
        <v>6649</v>
      </c>
      <c r="G237" s="377">
        <v>4595000</v>
      </c>
    </row>
    <row r="238" spans="1:7" s="370" customFormat="1" ht="15.6" customHeight="1" x14ac:dyDescent="0.25">
      <c r="A238" s="373"/>
      <c r="B238" s="373"/>
      <c r="C238" s="374"/>
      <c r="D238" s="375"/>
      <c r="E238" s="376">
        <v>6700</v>
      </c>
      <c r="F238" s="376">
        <v>6701</v>
      </c>
      <c r="G238" s="377">
        <v>100000</v>
      </c>
    </row>
    <row r="239" spans="1:7" s="370" customFormat="1" ht="15.6" customHeight="1" x14ac:dyDescent="0.25">
      <c r="A239" s="373"/>
      <c r="B239" s="373"/>
      <c r="C239" s="374"/>
      <c r="D239" s="375"/>
      <c r="E239" s="376"/>
      <c r="F239" s="376">
        <v>6702</v>
      </c>
      <c r="G239" s="377">
        <v>600000</v>
      </c>
    </row>
    <row r="240" spans="1:7" s="370" customFormat="1" ht="15.6" customHeight="1" x14ac:dyDescent="0.25">
      <c r="A240" s="373"/>
      <c r="B240" s="373"/>
      <c r="C240" s="374"/>
      <c r="D240" s="375"/>
      <c r="E240" s="376"/>
      <c r="F240" s="376">
        <v>6703</v>
      </c>
      <c r="G240" s="377">
        <v>350000</v>
      </c>
    </row>
    <row r="241" spans="1:7" s="370" customFormat="1" ht="15.6" customHeight="1" x14ac:dyDescent="0.25">
      <c r="A241" s="373"/>
      <c r="B241" s="373"/>
      <c r="C241" s="374"/>
      <c r="D241" s="375"/>
      <c r="E241" s="376">
        <v>6900</v>
      </c>
      <c r="F241" s="376">
        <v>6912</v>
      </c>
      <c r="G241" s="377">
        <v>15685000</v>
      </c>
    </row>
    <row r="242" spans="1:7" s="370" customFormat="1" ht="15.6" customHeight="1" x14ac:dyDescent="0.25">
      <c r="A242" s="373"/>
      <c r="B242" s="373"/>
      <c r="C242" s="374"/>
      <c r="D242" s="375"/>
      <c r="E242" s="376">
        <v>7050</v>
      </c>
      <c r="F242" s="376">
        <v>7053</v>
      </c>
      <c r="G242" s="377">
        <v>26000000</v>
      </c>
    </row>
    <row r="243" spans="1:7" s="370" customFormat="1" ht="15.6" customHeight="1" x14ac:dyDescent="0.25">
      <c r="A243" s="373"/>
      <c r="B243" s="373"/>
      <c r="C243" s="374"/>
      <c r="D243" s="375">
        <v>151</v>
      </c>
      <c r="E243" s="376">
        <v>7000</v>
      </c>
      <c r="F243" s="376">
        <v>7049</v>
      </c>
      <c r="G243" s="377">
        <v>36160000</v>
      </c>
    </row>
    <row r="244" spans="1:7" s="370" customFormat="1" ht="15.6" customHeight="1" x14ac:dyDescent="0.25">
      <c r="A244" s="373"/>
      <c r="B244" s="373"/>
      <c r="C244" s="374">
        <v>160</v>
      </c>
      <c r="D244" s="375">
        <v>161</v>
      </c>
      <c r="E244" s="376">
        <v>6000</v>
      </c>
      <c r="F244" s="376">
        <v>6001</v>
      </c>
      <c r="G244" s="377">
        <v>2601731340</v>
      </c>
    </row>
    <row r="245" spans="1:7" s="370" customFormat="1" ht="15.6" customHeight="1" x14ac:dyDescent="0.25">
      <c r="A245" s="373"/>
      <c r="B245" s="373"/>
      <c r="C245" s="374"/>
      <c r="D245" s="375"/>
      <c r="E245" s="376">
        <v>6050</v>
      </c>
      <c r="F245" s="376">
        <v>6051</v>
      </c>
      <c r="G245" s="377">
        <v>146498604</v>
      </c>
    </row>
    <row r="246" spans="1:7" s="370" customFormat="1" ht="15.6" customHeight="1" x14ac:dyDescent="0.25">
      <c r="A246" s="373"/>
      <c r="B246" s="373"/>
      <c r="C246" s="374"/>
      <c r="D246" s="375"/>
      <c r="E246" s="376">
        <v>6100</v>
      </c>
      <c r="F246" s="376">
        <v>6101</v>
      </c>
      <c r="G246" s="377">
        <v>14976000</v>
      </c>
    </row>
    <row r="247" spans="1:7" s="370" customFormat="1" ht="15.6" customHeight="1" x14ac:dyDescent="0.25">
      <c r="A247" s="373"/>
      <c r="B247" s="373"/>
      <c r="C247" s="374"/>
      <c r="D247" s="375"/>
      <c r="E247" s="376"/>
      <c r="F247" s="376">
        <v>6102</v>
      </c>
      <c r="G247" s="377">
        <v>369720000</v>
      </c>
    </row>
    <row r="248" spans="1:7" s="370" customFormat="1" ht="15.6" customHeight="1" x14ac:dyDescent="0.25">
      <c r="A248" s="373"/>
      <c r="B248" s="373"/>
      <c r="C248" s="374"/>
      <c r="D248" s="375"/>
      <c r="E248" s="376"/>
      <c r="F248" s="376">
        <v>6107</v>
      </c>
      <c r="G248" s="377">
        <v>5148000</v>
      </c>
    </row>
    <row r="249" spans="1:7" s="370" customFormat="1" ht="15.6" customHeight="1" x14ac:dyDescent="0.25">
      <c r="A249" s="373"/>
      <c r="B249" s="373"/>
      <c r="C249" s="374"/>
      <c r="D249" s="375"/>
      <c r="E249" s="376"/>
      <c r="F249" s="376">
        <v>6113</v>
      </c>
      <c r="G249" s="377">
        <v>5148000</v>
      </c>
    </row>
    <row r="250" spans="1:7" s="370" customFormat="1" ht="15.6" customHeight="1" x14ac:dyDescent="0.25">
      <c r="A250" s="373"/>
      <c r="B250" s="373"/>
      <c r="C250" s="374"/>
      <c r="D250" s="375"/>
      <c r="E250" s="376"/>
      <c r="F250" s="376">
        <v>6115</v>
      </c>
      <c r="G250" s="377">
        <v>2913300</v>
      </c>
    </row>
    <row r="251" spans="1:7" s="370" customFormat="1" ht="15.6" customHeight="1" x14ac:dyDescent="0.25">
      <c r="A251" s="373"/>
      <c r="B251" s="373"/>
      <c r="C251" s="374"/>
      <c r="D251" s="375"/>
      <c r="E251" s="376">
        <v>6200</v>
      </c>
      <c r="F251" s="376">
        <v>6201</v>
      </c>
      <c r="G251" s="377">
        <v>81994000</v>
      </c>
    </row>
    <row r="252" spans="1:7" s="370" customFormat="1" ht="15.6" customHeight="1" x14ac:dyDescent="0.25">
      <c r="A252" s="373"/>
      <c r="B252" s="373"/>
      <c r="C252" s="374"/>
      <c r="D252" s="375"/>
      <c r="E252" s="376">
        <v>6250</v>
      </c>
      <c r="F252" s="376">
        <v>6253</v>
      </c>
      <c r="G252" s="377">
        <v>2960000</v>
      </c>
    </row>
    <row r="253" spans="1:7" s="370" customFormat="1" ht="15.6" customHeight="1" x14ac:dyDescent="0.25">
      <c r="A253" s="373"/>
      <c r="B253" s="373"/>
      <c r="C253" s="374"/>
      <c r="D253" s="375"/>
      <c r="E253" s="376"/>
      <c r="F253" s="376">
        <v>6299</v>
      </c>
      <c r="G253" s="377">
        <v>16050000</v>
      </c>
    </row>
    <row r="254" spans="1:7" s="370" customFormat="1" ht="15.6" customHeight="1" x14ac:dyDescent="0.25">
      <c r="A254" s="373"/>
      <c r="B254" s="373"/>
      <c r="C254" s="374"/>
      <c r="D254" s="375"/>
      <c r="E254" s="376">
        <v>6300</v>
      </c>
      <c r="F254" s="376">
        <v>6301</v>
      </c>
      <c r="G254" s="377">
        <v>460705929</v>
      </c>
    </row>
    <row r="255" spans="1:7" s="370" customFormat="1" ht="15.6" customHeight="1" x14ac:dyDescent="0.25">
      <c r="A255" s="373"/>
      <c r="B255" s="373"/>
      <c r="C255" s="374"/>
      <c r="D255" s="375"/>
      <c r="E255" s="376"/>
      <c r="F255" s="376">
        <v>6302</v>
      </c>
      <c r="G255" s="377">
        <v>78978160</v>
      </c>
    </row>
    <row r="256" spans="1:7" s="370" customFormat="1" ht="15.6" customHeight="1" x14ac:dyDescent="0.25">
      <c r="A256" s="373"/>
      <c r="B256" s="373"/>
      <c r="C256" s="374"/>
      <c r="D256" s="375"/>
      <c r="E256" s="376"/>
      <c r="F256" s="376">
        <v>6303</v>
      </c>
      <c r="G256" s="377">
        <v>28640328</v>
      </c>
    </row>
    <row r="257" spans="1:7" s="370" customFormat="1" ht="15.6" customHeight="1" x14ac:dyDescent="0.25">
      <c r="A257" s="373"/>
      <c r="B257" s="373"/>
      <c r="C257" s="374"/>
      <c r="D257" s="375"/>
      <c r="E257" s="376"/>
      <c r="F257" s="376">
        <v>6304</v>
      </c>
      <c r="G257" s="377">
        <v>26326054</v>
      </c>
    </row>
    <row r="258" spans="1:7" s="370" customFormat="1" ht="15.6" customHeight="1" x14ac:dyDescent="0.25">
      <c r="A258" s="373"/>
      <c r="B258" s="373"/>
      <c r="C258" s="374"/>
      <c r="D258" s="375"/>
      <c r="E258" s="376">
        <v>6400</v>
      </c>
      <c r="F258" s="376">
        <v>6449</v>
      </c>
      <c r="G258" s="377">
        <v>2900000</v>
      </c>
    </row>
    <row r="259" spans="1:7" s="370" customFormat="1" ht="15.6" customHeight="1" x14ac:dyDescent="0.25">
      <c r="A259" s="373"/>
      <c r="B259" s="373"/>
      <c r="C259" s="374"/>
      <c r="D259" s="375"/>
      <c r="E259" s="376">
        <v>6500</v>
      </c>
      <c r="F259" s="376">
        <v>6501</v>
      </c>
      <c r="G259" s="377">
        <v>56733326</v>
      </c>
    </row>
    <row r="260" spans="1:7" s="370" customFormat="1" ht="15.6" customHeight="1" x14ac:dyDescent="0.25">
      <c r="A260" s="373"/>
      <c r="B260" s="373"/>
      <c r="C260" s="374"/>
      <c r="D260" s="375"/>
      <c r="E260" s="376"/>
      <c r="F260" s="376">
        <v>6502</v>
      </c>
      <c r="G260" s="377">
        <v>33194410</v>
      </c>
    </row>
    <row r="261" spans="1:7" s="370" customFormat="1" ht="15.6" customHeight="1" x14ac:dyDescent="0.25">
      <c r="A261" s="373"/>
      <c r="B261" s="373"/>
      <c r="C261" s="374"/>
      <c r="D261" s="375"/>
      <c r="E261" s="376"/>
      <c r="F261" s="376">
        <v>6503</v>
      </c>
      <c r="G261" s="377">
        <v>1382540</v>
      </c>
    </row>
    <row r="262" spans="1:7" s="370" customFormat="1" ht="15.6" customHeight="1" x14ac:dyDescent="0.25">
      <c r="A262" s="373"/>
      <c r="B262" s="373"/>
      <c r="C262" s="374"/>
      <c r="D262" s="375"/>
      <c r="E262" s="376">
        <v>6550</v>
      </c>
      <c r="F262" s="376">
        <v>6551</v>
      </c>
      <c r="G262" s="377">
        <v>59254000</v>
      </c>
    </row>
    <row r="263" spans="1:7" s="370" customFormat="1" ht="15.6" customHeight="1" x14ac:dyDescent="0.25">
      <c r="A263" s="373"/>
      <c r="B263" s="373"/>
      <c r="C263" s="374"/>
      <c r="D263" s="375"/>
      <c r="E263" s="376"/>
      <c r="F263" s="376">
        <v>6599</v>
      </c>
      <c r="G263" s="377">
        <v>47050000</v>
      </c>
    </row>
    <row r="264" spans="1:7" s="370" customFormat="1" ht="15.6" customHeight="1" x14ac:dyDescent="0.25">
      <c r="A264" s="373"/>
      <c r="B264" s="373"/>
      <c r="C264" s="374"/>
      <c r="D264" s="375"/>
      <c r="E264" s="376">
        <v>6600</v>
      </c>
      <c r="F264" s="376">
        <v>6601</v>
      </c>
      <c r="G264" s="377">
        <v>88000</v>
      </c>
    </row>
    <row r="265" spans="1:7" s="370" customFormat="1" ht="15.6" customHeight="1" x14ac:dyDescent="0.25">
      <c r="A265" s="373"/>
      <c r="B265" s="373"/>
      <c r="C265" s="374"/>
      <c r="D265" s="375"/>
      <c r="E265" s="376"/>
      <c r="F265" s="376">
        <v>6605</v>
      </c>
      <c r="G265" s="377">
        <v>20816000</v>
      </c>
    </row>
    <row r="266" spans="1:7" s="370" customFormat="1" ht="15.6" customHeight="1" x14ac:dyDescent="0.25">
      <c r="A266" s="373"/>
      <c r="B266" s="373"/>
      <c r="C266" s="374"/>
      <c r="D266" s="375"/>
      <c r="E266" s="376"/>
      <c r="F266" s="376">
        <v>6606</v>
      </c>
      <c r="G266" s="377">
        <v>54900000</v>
      </c>
    </row>
    <row r="267" spans="1:7" s="370" customFormat="1" ht="15.6" customHeight="1" x14ac:dyDescent="0.25">
      <c r="A267" s="373"/>
      <c r="B267" s="373"/>
      <c r="C267" s="374"/>
      <c r="D267" s="375"/>
      <c r="E267" s="376"/>
      <c r="F267" s="376">
        <v>6608</v>
      </c>
      <c r="G267" s="377">
        <v>1387000</v>
      </c>
    </row>
    <row r="268" spans="1:7" s="370" customFormat="1" ht="15.6" customHeight="1" x14ac:dyDescent="0.25">
      <c r="A268" s="373"/>
      <c r="B268" s="373"/>
      <c r="C268" s="374"/>
      <c r="D268" s="375"/>
      <c r="E268" s="376"/>
      <c r="F268" s="376">
        <v>6649</v>
      </c>
      <c r="G268" s="377">
        <v>34296880</v>
      </c>
    </row>
    <row r="269" spans="1:7" s="370" customFormat="1" ht="15.6" customHeight="1" x14ac:dyDescent="0.25">
      <c r="A269" s="373"/>
      <c r="B269" s="373"/>
      <c r="C269" s="374"/>
      <c r="D269" s="375"/>
      <c r="E269" s="376">
        <v>6650</v>
      </c>
      <c r="F269" s="376">
        <v>6699</v>
      </c>
      <c r="G269" s="377">
        <v>10100000</v>
      </c>
    </row>
    <row r="270" spans="1:7" s="370" customFormat="1" ht="15.6" customHeight="1" x14ac:dyDescent="0.25">
      <c r="A270" s="373"/>
      <c r="B270" s="373"/>
      <c r="C270" s="374"/>
      <c r="D270" s="375"/>
      <c r="E270" s="376">
        <v>6700</v>
      </c>
      <c r="F270" s="376">
        <v>6701</v>
      </c>
      <c r="G270" s="377">
        <v>10896000</v>
      </c>
    </row>
    <row r="271" spans="1:7" s="370" customFormat="1" ht="15.6" customHeight="1" x14ac:dyDescent="0.25">
      <c r="A271" s="373"/>
      <c r="B271" s="373"/>
      <c r="C271" s="374"/>
      <c r="D271" s="375"/>
      <c r="E271" s="376"/>
      <c r="F271" s="376">
        <v>6702</v>
      </c>
      <c r="G271" s="377">
        <v>32850000</v>
      </c>
    </row>
    <row r="272" spans="1:7" s="370" customFormat="1" ht="15.6" customHeight="1" x14ac:dyDescent="0.25">
      <c r="A272" s="373"/>
      <c r="B272" s="373"/>
      <c r="C272" s="374"/>
      <c r="D272" s="375"/>
      <c r="E272" s="376"/>
      <c r="F272" s="376">
        <v>6703</v>
      </c>
      <c r="G272" s="377">
        <v>25850000</v>
      </c>
    </row>
    <row r="273" spans="1:7" s="370" customFormat="1" ht="15.6" customHeight="1" x14ac:dyDescent="0.25">
      <c r="A273" s="373"/>
      <c r="B273" s="373"/>
      <c r="C273" s="374"/>
      <c r="D273" s="375"/>
      <c r="E273" s="376">
        <v>6750</v>
      </c>
      <c r="F273" s="376">
        <v>6751</v>
      </c>
      <c r="G273" s="377">
        <v>50940000</v>
      </c>
    </row>
    <row r="274" spans="1:7" s="370" customFormat="1" ht="15.6" customHeight="1" x14ac:dyDescent="0.25">
      <c r="A274" s="373"/>
      <c r="B274" s="373"/>
      <c r="C274" s="374"/>
      <c r="D274" s="375"/>
      <c r="E274" s="376"/>
      <c r="F274" s="376">
        <v>6799</v>
      </c>
      <c r="G274" s="377">
        <v>97250000</v>
      </c>
    </row>
    <row r="275" spans="1:7" s="370" customFormat="1" ht="15.6" customHeight="1" x14ac:dyDescent="0.25">
      <c r="A275" s="373"/>
      <c r="B275" s="373"/>
      <c r="C275" s="374"/>
      <c r="D275" s="375"/>
      <c r="E275" s="376">
        <v>6900</v>
      </c>
      <c r="F275" s="376">
        <v>6901</v>
      </c>
      <c r="G275" s="377">
        <v>35430000</v>
      </c>
    </row>
    <row r="276" spans="1:7" s="370" customFormat="1" ht="15.6" customHeight="1" x14ac:dyDescent="0.25">
      <c r="A276" s="373"/>
      <c r="B276" s="373"/>
      <c r="C276" s="374"/>
      <c r="D276" s="375"/>
      <c r="E276" s="376"/>
      <c r="F276" s="376">
        <v>6905</v>
      </c>
      <c r="G276" s="377">
        <v>14595000</v>
      </c>
    </row>
    <row r="277" spans="1:7" s="370" customFormat="1" ht="15.6" customHeight="1" x14ac:dyDescent="0.25">
      <c r="A277" s="373"/>
      <c r="B277" s="373"/>
      <c r="C277" s="374"/>
      <c r="D277" s="375"/>
      <c r="E277" s="376"/>
      <c r="F277" s="376">
        <v>6912</v>
      </c>
      <c r="G277" s="377">
        <v>10455000</v>
      </c>
    </row>
    <row r="278" spans="1:7" s="370" customFormat="1" ht="15.6" customHeight="1" x14ac:dyDescent="0.25">
      <c r="A278" s="373"/>
      <c r="B278" s="373"/>
      <c r="C278" s="374"/>
      <c r="D278" s="375"/>
      <c r="E278" s="376">
        <v>6950</v>
      </c>
      <c r="F278" s="376">
        <v>6953</v>
      </c>
      <c r="G278" s="377">
        <v>27950000</v>
      </c>
    </row>
    <row r="279" spans="1:7" s="370" customFormat="1" ht="15.6" customHeight="1" x14ac:dyDescent="0.25">
      <c r="A279" s="373"/>
      <c r="B279" s="373"/>
      <c r="C279" s="374"/>
      <c r="D279" s="375"/>
      <c r="E279" s="376">
        <v>7000</v>
      </c>
      <c r="F279" s="376">
        <v>7001</v>
      </c>
      <c r="G279" s="377">
        <v>989256648</v>
      </c>
    </row>
    <row r="280" spans="1:7" s="370" customFormat="1" ht="15.6" customHeight="1" x14ac:dyDescent="0.25">
      <c r="A280" s="373"/>
      <c r="B280" s="373"/>
      <c r="C280" s="374"/>
      <c r="D280" s="375"/>
      <c r="E280" s="376"/>
      <c r="F280" s="376">
        <v>7004</v>
      </c>
      <c r="G280" s="377">
        <v>4850000</v>
      </c>
    </row>
    <row r="281" spans="1:7" s="370" customFormat="1" ht="15.6" customHeight="1" x14ac:dyDescent="0.25">
      <c r="A281" s="373"/>
      <c r="B281" s="373"/>
      <c r="C281" s="374"/>
      <c r="D281" s="375"/>
      <c r="E281" s="376"/>
      <c r="F281" s="376">
        <v>7012</v>
      </c>
      <c r="G281" s="377">
        <v>139450000</v>
      </c>
    </row>
    <row r="282" spans="1:7" s="370" customFormat="1" ht="15.6" customHeight="1" x14ac:dyDescent="0.25">
      <c r="A282" s="373"/>
      <c r="B282" s="373"/>
      <c r="C282" s="374"/>
      <c r="D282" s="375"/>
      <c r="E282" s="376"/>
      <c r="F282" s="376">
        <v>7049</v>
      </c>
      <c r="G282" s="377">
        <v>639954000</v>
      </c>
    </row>
    <row r="283" spans="1:7" s="370" customFormat="1" ht="15.6" customHeight="1" x14ac:dyDescent="0.25">
      <c r="A283" s="373"/>
      <c r="B283" s="373"/>
      <c r="C283" s="374"/>
      <c r="D283" s="375"/>
      <c r="E283" s="376">
        <v>7050</v>
      </c>
      <c r="F283" s="376">
        <v>7053</v>
      </c>
      <c r="G283" s="377">
        <v>14000000</v>
      </c>
    </row>
    <row r="284" spans="1:7" s="370" customFormat="1" ht="15.6" customHeight="1" x14ac:dyDescent="0.25">
      <c r="A284" s="373"/>
      <c r="B284" s="373"/>
      <c r="C284" s="374"/>
      <c r="D284" s="375"/>
      <c r="E284" s="376">
        <v>7750</v>
      </c>
      <c r="F284" s="376">
        <v>7756</v>
      </c>
      <c r="G284" s="377">
        <v>3888100</v>
      </c>
    </row>
    <row r="285" spans="1:7" s="370" customFormat="1" ht="15.6" customHeight="1" x14ac:dyDescent="0.25">
      <c r="A285" s="373"/>
      <c r="B285" s="373"/>
      <c r="C285" s="374"/>
      <c r="D285" s="375"/>
      <c r="E285" s="376">
        <v>7850</v>
      </c>
      <c r="F285" s="376">
        <v>7852</v>
      </c>
      <c r="G285" s="377">
        <v>1580000</v>
      </c>
    </row>
    <row r="286" spans="1:7" s="370" customFormat="1" ht="15.6" customHeight="1" x14ac:dyDescent="0.25">
      <c r="A286" s="373"/>
      <c r="B286" s="373"/>
      <c r="C286" s="374"/>
      <c r="D286" s="375"/>
      <c r="E286" s="376"/>
      <c r="F286" s="376">
        <v>7854</v>
      </c>
      <c r="G286" s="377">
        <v>30544000</v>
      </c>
    </row>
    <row r="287" spans="1:7" s="370" customFormat="1" ht="15.6" customHeight="1" x14ac:dyDescent="0.25">
      <c r="A287" s="373"/>
      <c r="B287" s="373"/>
      <c r="C287" s="374"/>
      <c r="D287" s="375"/>
      <c r="E287" s="376">
        <v>8000</v>
      </c>
      <c r="F287" s="376">
        <v>8006</v>
      </c>
      <c r="G287" s="377">
        <v>272586600</v>
      </c>
    </row>
    <row r="288" spans="1:7" s="370" customFormat="1" ht="15.6" customHeight="1" x14ac:dyDescent="0.25">
      <c r="A288" s="373"/>
      <c r="B288" s="373"/>
      <c r="C288" s="374">
        <v>190</v>
      </c>
      <c r="D288" s="375">
        <v>191</v>
      </c>
      <c r="E288" s="376">
        <v>7000</v>
      </c>
      <c r="F288" s="376">
        <v>7049</v>
      </c>
      <c r="G288" s="377">
        <v>155301570</v>
      </c>
    </row>
    <row r="289" spans="1:7" s="370" customFormat="1" ht="15.6" customHeight="1" x14ac:dyDescent="0.25">
      <c r="A289" s="373"/>
      <c r="B289" s="373"/>
      <c r="C289" s="374">
        <v>280</v>
      </c>
      <c r="D289" s="375">
        <v>281</v>
      </c>
      <c r="E289" s="376">
        <v>6000</v>
      </c>
      <c r="F289" s="376">
        <v>6001</v>
      </c>
      <c r="G289" s="377">
        <v>38493000</v>
      </c>
    </row>
    <row r="290" spans="1:7" s="370" customFormat="1" ht="15.6" customHeight="1" x14ac:dyDescent="0.25">
      <c r="A290" s="373"/>
      <c r="B290" s="373"/>
      <c r="C290" s="374"/>
      <c r="D290" s="375"/>
      <c r="E290" s="376">
        <v>6100</v>
      </c>
      <c r="F290" s="376">
        <v>6102</v>
      </c>
      <c r="G290" s="377">
        <v>5850000</v>
      </c>
    </row>
    <row r="291" spans="1:7" s="370" customFormat="1" ht="15.6" customHeight="1" x14ac:dyDescent="0.25">
      <c r="A291" s="373"/>
      <c r="B291" s="373"/>
      <c r="C291" s="374"/>
      <c r="D291" s="375"/>
      <c r="E291" s="376"/>
      <c r="F291" s="376">
        <v>6105</v>
      </c>
      <c r="G291" s="377">
        <v>50662000</v>
      </c>
    </row>
    <row r="292" spans="1:7" s="370" customFormat="1" ht="15.6" customHeight="1" x14ac:dyDescent="0.25">
      <c r="A292" s="373"/>
      <c r="B292" s="373"/>
      <c r="C292" s="374"/>
      <c r="D292" s="375"/>
      <c r="E292" s="376"/>
      <c r="F292" s="376">
        <v>6112</v>
      </c>
      <c r="G292" s="377">
        <v>3177720</v>
      </c>
    </row>
    <row r="293" spans="1:7" s="370" customFormat="1" ht="15.6" customHeight="1" x14ac:dyDescent="0.25">
      <c r="A293" s="373"/>
      <c r="B293" s="373"/>
      <c r="C293" s="374"/>
      <c r="D293" s="375"/>
      <c r="E293" s="376"/>
      <c r="F293" s="376">
        <v>6113</v>
      </c>
      <c r="G293" s="377">
        <v>234000</v>
      </c>
    </row>
    <row r="294" spans="1:7" s="370" customFormat="1" ht="15.6" customHeight="1" x14ac:dyDescent="0.25">
      <c r="A294" s="373"/>
      <c r="B294" s="373"/>
      <c r="C294" s="374"/>
      <c r="D294" s="375"/>
      <c r="E294" s="376">
        <v>6200</v>
      </c>
      <c r="F294" s="376">
        <v>6201</v>
      </c>
      <c r="G294" s="377">
        <v>46181600</v>
      </c>
    </row>
    <row r="295" spans="1:7" s="370" customFormat="1" ht="15.6" customHeight="1" x14ac:dyDescent="0.25">
      <c r="A295" s="373"/>
      <c r="B295" s="373"/>
      <c r="C295" s="374"/>
      <c r="D295" s="375"/>
      <c r="E295" s="376">
        <v>6300</v>
      </c>
      <c r="F295" s="376">
        <v>6301</v>
      </c>
      <c r="G295" s="377">
        <v>6736275</v>
      </c>
    </row>
    <row r="296" spans="1:7" s="370" customFormat="1" ht="15.6" customHeight="1" x14ac:dyDescent="0.25">
      <c r="A296" s="373"/>
      <c r="B296" s="373"/>
      <c r="C296" s="374"/>
      <c r="D296" s="375"/>
      <c r="E296" s="376"/>
      <c r="F296" s="376">
        <v>6302</v>
      </c>
      <c r="G296" s="377">
        <v>1154790</v>
      </c>
    </row>
    <row r="297" spans="1:7" s="370" customFormat="1" ht="15.6" customHeight="1" x14ac:dyDescent="0.25">
      <c r="A297" s="373"/>
      <c r="B297" s="373"/>
      <c r="C297" s="374"/>
      <c r="D297" s="375"/>
      <c r="E297" s="376"/>
      <c r="F297" s="376">
        <v>6304</v>
      </c>
      <c r="G297" s="377">
        <v>384930</v>
      </c>
    </row>
    <row r="298" spans="1:7" s="370" customFormat="1" ht="15.6" customHeight="1" x14ac:dyDescent="0.25">
      <c r="A298" s="373"/>
      <c r="B298" s="373"/>
      <c r="C298" s="374"/>
      <c r="D298" s="375"/>
      <c r="E298" s="376">
        <v>6400</v>
      </c>
      <c r="F298" s="376">
        <v>6449</v>
      </c>
      <c r="G298" s="377">
        <v>71325000</v>
      </c>
    </row>
    <row r="299" spans="1:7" s="370" customFormat="1" ht="15.6" customHeight="1" x14ac:dyDescent="0.25">
      <c r="A299" s="373"/>
      <c r="B299" s="373"/>
      <c r="C299" s="374"/>
      <c r="D299" s="375"/>
      <c r="E299" s="376">
        <v>6550</v>
      </c>
      <c r="F299" s="376">
        <v>6551</v>
      </c>
      <c r="G299" s="377">
        <v>12200000</v>
      </c>
    </row>
    <row r="300" spans="1:7" s="370" customFormat="1" ht="15.6" customHeight="1" x14ac:dyDescent="0.25">
      <c r="A300" s="373"/>
      <c r="B300" s="373"/>
      <c r="C300" s="374"/>
      <c r="D300" s="375"/>
      <c r="E300" s="376"/>
      <c r="F300" s="376">
        <v>6599</v>
      </c>
      <c r="G300" s="377">
        <v>8130000</v>
      </c>
    </row>
    <row r="301" spans="1:7" s="370" customFormat="1" ht="15.6" customHeight="1" x14ac:dyDescent="0.25">
      <c r="A301" s="373"/>
      <c r="B301" s="373"/>
      <c r="C301" s="374"/>
      <c r="D301" s="375"/>
      <c r="E301" s="376">
        <v>6650</v>
      </c>
      <c r="F301" s="376">
        <v>6659</v>
      </c>
      <c r="G301" s="377">
        <v>5400000</v>
      </c>
    </row>
    <row r="302" spans="1:7" s="370" customFormat="1" ht="15.6" customHeight="1" x14ac:dyDescent="0.25">
      <c r="A302" s="373"/>
      <c r="B302" s="373"/>
      <c r="C302" s="374"/>
      <c r="D302" s="375"/>
      <c r="E302" s="376">
        <v>6700</v>
      </c>
      <c r="F302" s="376">
        <v>6701</v>
      </c>
      <c r="G302" s="377">
        <v>1202000</v>
      </c>
    </row>
    <row r="303" spans="1:7" s="370" customFormat="1" ht="15.6" customHeight="1" x14ac:dyDescent="0.25">
      <c r="A303" s="373"/>
      <c r="B303" s="373"/>
      <c r="C303" s="374"/>
      <c r="D303" s="375"/>
      <c r="E303" s="376"/>
      <c r="F303" s="376">
        <v>6702</v>
      </c>
      <c r="G303" s="377">
        <v>3800000</v>
      </c>
    </row>
    <row r="304" spans="1:7" s="370" customFormat="1" ht="15.6" customHeight="1" x14ac:dyDescent="0.25">
      <c r="A304" s="373"/>
      <c r="B304" s="373"/>
      <c r="C304" s="374"/>
      <c r="D304" s="375"/>
      <c r="E304" s="376"/>
      <c r="F304" s="376">
        <v>6703</v>
      </c>
      <c r="G304" s="377">
        <v>700000</v>
      </c>
    </row>
    <row r="305" spans="1:7" s="370" customFormat="1" ht="15.6" customHeight="1" x14ac:dyDescent="0.25">
      <c r="A305" s="373"/>
      <c r="B305" s="373"/>
      <c r="C305" s="374"/>
      <c r="D305" s="375"/>
      <c r="E305" s="376">
        <v>6750</v>
      </c>
      <c r="F305" s="376">
        <v>6751</v>
      </c>
      <c r="G305" s="377">
        <v>49500000</v>
      </c>
    </row>
    <row r="306" spans="1:7" s="370" customFormat="1" ht="15.6" customHeight="1" x14ac:dyDescent="0.25">
      <c r="A306" s="373"/>
      <c r="B306" s="373"/>
      <c r="C306" s="374"/>
      <c r="D306" s="375"/>
      <c r="E306" s="376">
        <v>7000</v>
      </c>
      <c r="F306" s="376">
        <v>7001</v>
      </c>
      <c r="G306" s="377">
        <v>113380000</v>
      </c>
    </row>
    <row r="307" spans="1:7" s="370" customFormat="1" ht="15.6" customHeight="1" x14ac:dyDescent="0.25">
      <c r="A307" s="373"/>
      <c r="B307" s="373"/>
      <c r="C307" s="374"/>
      <c r="D307" s="375"/>
      <c r="E307" s="376"/>
      <c r="F307" s="376">
        <v>7049</v>
      </c>
      <c r="G307" s="377">
        <v>208405000</v>
      </c>
    </row>
    <row r="308" spans="1:7" s="370" customFormat="1" ht="15.6" customHeight="1" x14ac:dyDescent="0.25">
      <c r="A308" s="373"/>
      <c r="B308" s="373"/>
      <c r="C308" s="374"/>
      <c r="D308" s="375"/>
      <c r="E308" s="376">
        <v>7100</v>
      </c>
      <c r="F308" s="376">
        <v>7149</v>
      </c>
      <c r="G308" s="377">
        <v>12118920637</v>
      </c>
    </row>
    <row r="309" spans="1:7" s="370" customFormat="1" ht="15.6" customHeight="1" x14ac:dyDescent="0.25">
      <c r="A309" s="373"/>
      <c r="B309" s="373"/>
      <c r="C309" s="374"/>
      <c r="D309" s="375"/>
      <c r="E309" s="376">
        <v>7750</v>
      </c>
      <c r="F309" s="376">
        <v>7756</v>
      </c>
      <c r="G309" s="377">
        <v>27500</v>
      </c>
    </row>
    <row r="310" spans="1:7" s="370" customFormat="1" ht="15.6" customHeight="1" x14ac:dyDescent="0.25">
      <c r="A310" s="373"/>
      <c r="B310" s="373"/>
      <c r="C310" s="374"/>
      <c r="D310" s="375">
        <v>284</v>
      </c>
      <c r="E310" s="376">
        <v>7000</v>
      </c>
      <c r="F310" s="376">
        <v>7049</v>
      </c>
      <c r="G310" s="377">
        <v>390750000</v>
      </c>
    </row>
    <row r="311" spans="1:7" s="370" customFormat="1" ht="15.6" customHeight="1" x14ac:dyDescent="0.25">
      <c r="A311" s="373"/>
      <c r="B311" s="373"/>
      <c r="C311" s="374"/>
      <c r="D311" s="375">
        <v>292</v>
      </c>
      <c r="E311" s="376">
        <v>6750</v>
      </c>
      <c r="F311" s="376">
        <v>6799</v>
      </c>
      <c r="G311" s="377">
        <v>330718000</v>
      </c>
    </row>
    <row r="312" spans="1:7" s="370" customFormat="1" ht="15.6" customHeight="1" x14ac:dyDescent="0.25">
      <c r="A312" s="373"/>
      <c r="B312" s="373"/>
      <c r="C312" s="374"/>
      <c r="D312" s="375"/>
      <c r="E312" s="376">
        <v>6900</v>
      </c>
      <c r="F312" s="376">
        <v>6922</v>
      </c>
      <c r="G312" s="377">
        <v>4393625000</v>
      </c>
    </row>
    <row r="313" spans="1:7" s="370" customFormat="1" ht="15.6" customHeight="1" x14ac:dyDescent="0.25">
      <c r="A313" s="373"/>
      <c r="B313" s="373"/>
      <c r="C313" s="374"/>
      <c r="D313" s="375">
        <v>311</v>
      </c>
      <c r="E313" s="376">
        <v>7100</v>
      </c>
      <c r="F313" s="376">
        <v>7149</v>
      </c>
      <c r="G313" s="377">
        <v>272600000</v>
      </c>
    </row>
    <row r="314" spans="1:7" s="370" customFormat="1" ht="15.6" customHeight="1" x14ac:dyDescent="0.25">
      <c r="A314" s="373"/>
      <c r="B314" s="373"/>
      <c r="C314" s="374"/>
      <c r="D314" s="375">
        <v>312</v>
      </c>
      <c r="E314" s="376">
        <v>6500</v>
      </c>
      <c r="F314" s="376">
        <v>6549</v>
      </c>
      <c r="G314" s="377">
        <v>13800325000</v>
      </c>
    </row>
    <row r="315" spans="1:7" s="370" customFormat="1" ht="15.6" customHeight="1" x14ac:dyDescent="0.25">
      <c r="A315" s="373"/>
      <c r="B315" s="373"/>
      <c r="C315" s="374"/>
      <c r="D315" s="375"/>
      <c r="E315" s="376">
        <v>6750</v>
      </c>
      <c r="F315" s="376">
        <v>6799</v>
      </c>
      <c r="G315" s="377">
        <v>94915000</v>
      </c>
    </row>
    <row r="316" spans="1:7" s="370" customFormat="1" ht="15.6" customHeight="1" x14ac:dyDescent="0.25">
      <c r="A316" s="373"/>
      <c r="B316" s="373"/>
      <c r="C316" s="374"/>
      <c r="D316" s="375"/>
      <c r="E316" s="376">
        <v>6900</v>
      </c>
      <c r="F316" s="376">
        <v>6949</v>
      </c>
      <c r="G316" s="377">
        <v>1243379000</v>
      </c>
    </row>
    <row r="317" spans="1:7" s="370" customFormat="1" ht="15.6" customHeight="1" x14ac:dyDescent="0.25">
      <c r="A317" s="373"/>
      <c r="B317" s="373"/>
      <c r="C317" s="374"/>
      <c r="D317" s="375">
        <v>321</v>
      </c>
      <c r="E317" s="376">
        <v>6750</v>
      </c>
      <c r="F317" s="376">
        <v>6799</v>
      </c>
      <c r="G317" s="377">
        <v>70026000</v>
      </c>
    </row>
    <row r="318" spans="1:7" s="370" customFormat="1" ht="15.6" customHeight="1" x14ac:dyDescent="0.25">
      <c r="A318" s="373"/>
      <c r="B318" s="373"/>
      <c r="C318" s="374"/>
      <c r="D318" s="375"/>
      <c r="E318" s="376">
        <v>6900</v>
      </c>
      <c r="F318" s="376">
        <v>6949</v>
      </c>
      <c r="G318" s="377">
        <v>678058000</v>
      </c>
    </row>
    <row r="319" spans="1:7" s="370" customFormat="1" ht="15.6" customHeight="1" x14ac:dyDescent="0.25">
      <c r="A319" s="373"/>
      <c r="B319" s="373"/>
      <c r="C319" s="374"/>
      <c r="D319" s="375">
        <v>332</v>
      </c>
      <c r="E319" s="376">
        <v>7000</v>
      </c>
      <c r="F319" s="376">
        <v>7049</v>
      </c>
      <c r="G319" s="377">
        <v>933325900</v>
      </c>
    </row>
    <row r="320" spans="1:7" s="370" customFormat="1" ht="15.6" customHeight="1" x14ac:dyDescent="0.25">
      <c r="A320" s="373"/>
      <c r="B320" s="373"/>
      <c r="C320" s="374"/>
      <c r="D320" s="375"/>
      <c r="E320" s="376">
        <v>8150</v>
      </c>
      <c r="F320" s="376">
        <v>8199</v>
      </c>
      <c r="G320" s="377">
        <v>2654385949</v>
      </c>
    </row>
    <row r="321" spans="1:7" s="370" customFormat="1" ht="15.6" customHeight="1" x14ac:dyDescent="0.25">
      <c r="A321" s="373"/>
      <c r="B321" s="373"/>
      <c r="C321" s="374"/>
      <c r="D321" s="375">
        <v>338</v>
      </c>
      <c r="E321" s="376">
        <v>6500</v>
      </c>
      <c r="F321" s="376">
        <v>6503</v>
      </c>
      <c r="G321" s="377">
        <v>48000000</v>
      </c>
    </row>
    <row r="322" spans="1:7" s="370" customFormat="1" ht="15.6" customHeight="1" x14ac:dyDescent="0.25">
      <c r="A322" s="373"/>
      <c r="B322" s="373"/>
      <c r="C322" s="374"/>
      <c r="D322" s="375"/>
      <c r="E322" s="376"/>
      <c r="F322" s="376">
        <v>6504</v>
      </c>
      <c r="G322" s="377">
        <v>101200000</v>
      </c>
    </row>
    <row r="323" spans="1:7" s="370" customFormat="1" ht="15.6" customHeight="1" x14ac:dyDescent="0.25">
      <c r="A323" s="373"/>
      <c r="B323" s="373"/>
      <c r="C323" s="374"/>
      <c r="D323" s="375"/>
      <c r="E323" s="376">
        <v>6550</v>
      </c>
      <c r="F323" s="376">
        <v>6599</v>
      </c>
      <c r="G323" s="377">
        <v>94699000</v>
      </c>
    </row>
    <row r="324" spans="1:7" s="370" customFormat="1" ht="15.6" customHeight="1" x14ac:dyDescent="0.25">
      <c r="A324" s="373"/>
      <c r="B324" s="373"/>
      <c r="C324" s="374"/>
      <c r="D324" s="375"/>
      <c r="E324" s="376">
        <v>6750</v>
      </c>
      <c r="F324" s="376">
        <v>6757</v>
      </c>
      <c r="G324" s="377">
        <v>83400000</v>
      </c>
    </row>
    <row r="325" spans="1:7" s="370" customFormat="1" ht="15.6" customHeight="1" x14ac:dyDescent="0.25">
      <c r="A325" s="373"/>
      <c r="B325" s="373"/>
      <c r="C325" s="374"/>
      <c r="D325" s="375"/>
      <c r="E325" s="376">
        <v>7000</v>
      </c>
      <c r="F325" s="376">
        <v>7001</v>
      </c>
      <c r="G325" s="377">
        <v>20000000</v>
      </c>
    </row>
    <row r="326" spans="1:7" s="370" customFormat="1" ht="15.6" customHeight="1" x14ac:dyDescent="0.25">
      <c r="A326" s="373"/>
      <c r="B326" s="373"/>
      <c r="C326" s="374"/>
      <c r="D326" s="375"/>
      <c r="E326" s="376"/>
      <c r="F326" s="376">
        <v>7049</v>
      </c>
      <c r="G326" s="377">
        <v>157699000</v>
      </c>
    </row>
    <row r="327" spans="1:7" s="370" customFormat="1" ht="15.6" customHeight="1" x14ac:dyDescent="0.25">
      <c r="A327" s="373"/>
      <c r="B327" s="373"/>
      <c r="C327" s="374">
        <v>340</v>
      </c>
      <c r="D327" s="375">
        <v>341</v>
      </c>
      <c r="E327" s="376">
        <v>6000</v>
      </c>
      <c r="F327" s="376">
        <v>6001</v>
      </c>
      <c r="G327" s="377">
        <v>9961867846</v>
      </c>
    </row>
    <row r="328" spans="1:7" s="370" customFormat="1" ht="15.6" customHeight="1" x14ac:dyDescent="0.25">
      <c r="A328" s="373"/>
      <c r="B328" s="373"/>
      <c r="C328" s="374"/>
      <c r="D328" s="375"/>
      <c r="E328" s="376">
        <v>6050</v>
      </c>
      <c r="F328" s="376">
        <v>6051</v>
      </c>
      <c r="G328" s="377">
        <v>658029900</v>
      </c>
    </row>
    <row r="329" spans="1:7" s="370" customFormat="1" ht="15.6" customHeight="1" x14ac:dyDescent="0.25">
      <c r="A329" s="373"/>
      <c r="B329" s="373"/>
      <c r="C329" s="374"/>
      <c r="D329" s="375"/>
      <c r="E329" s="376">
        <v>6100</v>
      </c>
      <c r="F329" s="376">
        <v>6101</v>
      </c>
      <c r="G329" s="377">
        <v>300982830</v>
      </c>
    </row>
    <row r="330" spans="1:7" s="370" customFormat="1" ht="15.6" customHeight="1" x14ac:dyDescent="0.25">
      <c r="A330" s="373"/>
      <c r="B330" s="373"/>
      <c r="C330" s="374"/>
      <c r="D330" s="375"/>
      <c r="E330" s="376"/>
      <c r="F330" s="376">
        <v>6102</v>
      </c>
      <c r="G330" s="377">
        <v>1399788000</v>
      </c>
    </row>
    <row r="331" spans="1:7" s="370" customFormat="1" ht="15.6" customHeight="1" x14ac:dyDescent="0.25">
      <c r="A331" s="373"/>
      <c r="B331" s="373"/>
      <c r="C331" s="374"/>
      <c r="D331" s="375"/>
      <c r="E331" s="376"/>
      <c r="F331" s="376">
        <v>6103</v>
      </c>
      <c r="G331" s="377">
        <v>22997520</v>
      </c>
    </row>
    <row r="332" spans="1:7" s="370" customFormat="1" ht="15.6" customHeight="1" x14ac:dyDescent="0.25">
      <c r="A332" s="373"/>
      <c r="B332" s="373"/>
      <c r="C332" s="374"/>
      <c r="D332" s="375"/>
      <c r="E332" s="376"/>
      <c r="F332" s="376">
        <v>6105</v>
      </c>
      <c r="G332" s="377">
        <v>959570812</v>
      </c>
    </row>
    <row r="333" spans="1:7" s="370" customFormat="1" ht="15.6" customHeight="1" x14ac:dyDescent="0.25">
      <c r="A333" s="373"/>
      <c r="B333" s="373"/>
      <c r="C333" s="374"/>
      <c r="D333" s="375"/>
      <c r="E333" s="376"/>
      <c r="F333" s="376">
        <v>6107</v>
      </c>
      <c r="G333" s="377">
        <v>2808000</v>
      </c>
    </row>
    <row r="334" spans="1:7" s="370" customFormat="1" ht="15.6" customHeight="1" x14ac:dyDescent="0.25">
      <c r="A334" s="373"/>
      <c r="B334" s="373"/>
      <c r="C334" s="374"/>
      <c r="D334" s="375"/>
      <c r="E334" s="376"/>
      <c r="F334" s="376">
        <v>6111</v>
      </c>
      <c r="G334" s="377">
        <v>904527000</v>
      </c>
    </row>
    <row r="335" spans="1:7" s="370" customFormat="1" ht="15.6" customHeight="1" x14ac:dyDescent="0.25">
      <c r="A335" s="373"/>
      <c r="B335" s="373"/>
      <c r="C335" s="374"/>
      <c r="D335" s="375"/>
      <c r="E335" s="376"/>
      <c r="F335" s="376">
        <v>6113</v>
      </c>
      <c r="G335" s="377">
        <v>99745604</v>
      </c>
    </row>
    <row r="336" spans="1:7" s="370" customFormat="1" ht="15.6" customHeight="1" x14ac:dyDescent="0.25">
      <c r="A336" s="373"/>
      <c r="B336" s="373"/>
      <c r="C336" s="374"/>
      <c r="D336" s="375"/>
      <c r="E336" s="376"/>
      <c r="F336" s="376">
        <v>6115</v>
      </c>
      <c r="G336" s="377">
        <v>79380700</v>
      </c>
    </row>
    <row r="337" spans="1:7" s="370" customFormat="1" ht="15.6" customHeight="1" x14ac:dyDescent="0.25">
      <c r="A337" s="373"/>
      <c r="B337" s="373"/>
      <c r="C337" s="374"/>
      <c r="D337" s="375"/>
      <c r="E337" s="376"/>
      <c r="F337" s="376">
        <v>6123</v>
      </c>
      <c r="G337" s="377">
        <v>44815680</v>
      </c>
    </row>
    <row r="338" spans="1:7" s="370" customFormat="1" ht="15.6" customHeight="1" x14ac:dyDescent="0.25">
      <c r="A338" s="373"/>
      <c r="B338" s="373"/>
      <c r="C338" s="374"/>
      <c r="D338" s="375"/>
      <c r="E338" s="376"/>
      <c r="F338" s="376">
        <v>6124</v>
      </c>
      <c r="G338" s="377">
        <v>2571831590</v>
      </c>
    </row>
    <row r="339" spans="1:7" s="370" customFormat="1" ht="15.6" customHeight="1" x14ac:dyDescent="0.25">
      <c r="A339" s="373"/>
      <c r="B339" s="373"/>
      <c r="C339" s="374"/>
      <c r="D339" s="375"/>
      <c r="E339" s="376"/>
      <c r="F339" s="376">
        <v>6149</v>
      </c>
      <c r="G339" s="377">
        <v>41805660</v>
      </c>
    </row>
    <row r="340" spans="1:7" s="370" customFormat="1" ht="15.6" customHeight="1" x14ac:dyDescent="0.25">
      <c r="A340" s="373"/>
      <c r="B340" s="373"/>
      <c r="C340" s="374"/>
      <c r="D340" s="375"/>
      <c r="E340" s="376">
        <v>6150</v>
      </c>
      <c r="F340" s="376">
        <v>6155</v>
      </c>
      <c r="G340" s="377">
        <v>1080000</v>
      </c>
    </row>
    <row r="341" spans="1:7" s="370" customFormat="1" ht="15.6" customHeight="1" x14ac:dyDescent="0.25">
      <c r="A341" s="373"/>
      <c r="B341" s="373"/>
      <c r="C341" s="374"/>
      <c r="D341" s="375"/>
      <c r="E341" s="376"/>
      <c r="F341" s="376">
        <v>6199</v>
      </c>
      <c r="G341" s="377">
        <v>935000</v>
      </c>
    </row>
    <row r="342" spans="1:7" s="370" customFormat="1" ht="15.6" customHeight="1" x14ac:dyDescent="0.25">
      <c r="A342" s="373"/>
      <c r="B342" s="373"/>
      <c r="C342" s="374"/>
      <c r="D342" s="375"/>
      <c r="E342" s="376">
        <v>6200</v>
      </c>
      <c r="F342" s="376">
        <v>6201</v>
      </c>
      <c r="G342" s="377">
        <v>728797400</v>
      </c>
    </row>
    <row r="343" spans="1:7" s="370" customFormat="1" ht="15.6" customHeight="1" x14ac:dyDescent="0.25">
      <c r="A343" s="373"/>
      <c r="B343" s="373"/>
      <c r="C343" s="374"/>
      <c r="D343" s="375"/>
      <c r="E343" s="376"/>
      <c r="F343" s="376">
        <v>6249</v>
      </c>
      <c r="G343" s="377">
        <v>316416000</v>
      </c>
    </row>
    <row r="344" spans="1:7" s="370" customFormat="1" ht="15.6" customHeight="1" x14ac:dyDescent="0.25">
      <c r="A344" s="373"/>
      <c r="B344" s="373"/>
      <c r="C344" s="374"/>
      <c r="D344" s="375"/>
      <c r="E344" s="376">
        <v>6250</v>
      </c>
      <c r="F344" s="376">
        <v>6254</v>
      </c>
      <c r="G344" s="377">
        <v>38580000</v>
      </c>
    </row>
    <row r="345" spans="1:7" s="370" customFormat="1" ht="15.6" customHeight="1" x14ac:dyDescent="0.25">
      <c r="A345" s="373"/>
      <c r="B345" s="373"/>
      <c r="C345" s="374"/>
      <c r="D345" s="375"/>
      <c r="E345" s="376"/>
      <c r="F345" s="376">
        <v>6299</v>
      </c>
      <c r="G345" s="377">
        <v>174330000</v>
      </c>
    </row>
    <row r="346" spans="1:7" s="370" customFormat="1" ht="15.6" customHeight="1" x14ac:dyDescent="0.25">
      <c r="A346" s="373"/>
      <c r="B346" s="373"/>
      <c r="C346" s="374"/>
      <c r="D346" s="375"/>
      <c r="E346" s="376">
        <v>6300</v>
      </c>
      <c r="F346" s="376">
        <v>6301</v>
      </c>
      <c r="G346" s="377">
        <v>2140518628</v>
      </c>
    </row>
    <row r="347" spans="1:7" s="370" customFormat="1" ht="15.6" customHeight="1" x14ac:dyDescent="0.25">
      <c r="A347" s="373"/>
      <c r="B347" s="373"/>
      <c r="C347" s="374"/>
      <c r="D347" s="375"/>
      <c r="E347" s="376"/>
      <c r="F347" s="376">
        <v>6302</v>
      </c>
      <c r="G347" s="377">
        <v>360755503</v>
      </c>
    </row>
    <row r="348" spans="1:7" s="370" customFormat="1" ht="15.6" customHeight="1" x14ac:dyDescent="0.25">
      <c r="A348" s="373"/>
      <c r="B348" s="373"/>
      <c r="C348" s="374"/>
      <c r="D348" s="375"/>
      <c r="E348" s="376"/>
      <c r="F348" s="376">
        <v>6303</v>
      </c>
      <c r="G348" s="377">
        <v>153130086</v>
      </c>
    </row>
    <row r="349" spans="1:7" s="370" customFormat="1" ht="15.6" customHeight="1" x14ac:dyDescent="0.25">
      <c r="A349" s="373"/>
      <c r="B349" s="373"/>
      <c r="C349" s="374"/>
      <c r="D349" s="375"/>
      <c r="E349" s="376">
        <v>6350</v>
      </c>
      <c r="F349" s="376">
        <v>6353</v>
      </c>
      <c r="G349" s="377">
        <v>5261902301</v>
      </c>
    </row>
    <row r="350" spans="1:7" s="370" customFormat="1" ht="15.6" customHeight="1" x14ac:dyDescent="0.25">
      <c r="A350" s="373"/>
      <c r="B350" s="373"/>
      <c r="C350" s="374"/>
      <c r="D350" s="375"/>
      <c r="E350" s="376"/>
      <c r="F350" s="376">
        <v>6399</v>
      </c>
      <c r="G350" s="377">
        <v>2135124000</v>
      </c>
    </row>
    <row r="351" spans="1:7" s="370" customFormat="1" ht="15.6" customHeight="1" x14ac:dyDescent="0.25">
      <c r="A351" s="373"/>
      <c r="B351" s="373"/>
      <c r="C351" s="374"/>
      <c r="D351" s="375"/>
      <c r="E351" s="376">
        <v>6400</v>
      </c>
      <c r="F351" s="376">
        <v>6404</v>
      </c>
      <c r="G351" s="377">
        <v>323829675</v>
      </c>
    </row>
    <row r="352" spans="1:7" s="370" customFormat="1" ht="15.6" customHeight="1" x14ac:dyDescent="0.25">
      <c r="A352" s="373"/>
      <c r="B352" s="373"/>
      <c r="C352" s="374"/>
      <c r="D352" s="375"/>
      <c r="E352" s="376"/>
      <c r="F352" s="376">
        <v>6449</v>
      </c>
      <c r="G352" s="377">
        <v>146206000</v>
      </c>
    </row>
    <row r="353" spans="1:7" s="370" customFormat="1" ht="15.6" customHeight="1" x14ac:dyDescent="0.25">
      <c r="A353" s="373"/>
      <c r="B353" s="373"/>
      <c r="C353" s="374"/>
      <c r="D353" s="375"/>
      <c r="E353" s="376">
        <v>6500</v>
      </c>
      <c r="F353" s="376">
        <v>6501</v>
      </c>
      <c r="G353" s="377">
        <v>456054825</v>
      </c>
    </row>
    <row r="354" spans="1:7" s="370" customFormat="1" ht="15.6" customHeight="1" x14ac:dyDescent="0.25">
      <c r="A354" s="373"/>
      <c r="B354" s="373"/>
      <c r="C354" s="374"/>
      <c r="D354" s="375"/>
      <c r="E354" s="376"/>
      <c r="F354" s="376">
        <v>6502</v>
      </c>
      <c r="G354" s="377">
        <v>101820481</v>
      </c>
    </row>
    <row r="355" spans="1:7" s="370" customFormat="1" ht="15.6" customHeight="1" x14ac:dyDescent="0.25">
      <c r="A355" s="373"/>
      <c r="B355" s="373"/>
      <c r="C355" s="374"/>
      <c r="D355" s="375"/>
      <c r="E355" s="376"/>
      <c r="F355" s="376">
        <v>6503</v>
      </c>
      <c r="G355" s="377">
        <v>430269580</v>
      </c>
    </row>
    <row r="356" spans="1:7" s="370" customFormat="1" ht="15.6" customHeight="1" x14ac:dyDescent="0.25">
      <c r="A356" s="373"/>
      <c r="B356" s="373"/>
      <c r="C356" s="374"/>
      <c r="D356" s="375"/>
      <c r="E356" s="376"/>
      <c r="F356" s="376">
        <v>6504</v>
      </c>
      <c r="G356" s="377">
        <v>196121600</v>
      </c>
    </row>
    <row r="357" spans="1:7" s="370" customFormat="1" ht="15.6" customHeight="1" x14ac:dyDescent="0.25">
      <c r="A357" s="373"/>
      <c r="B357" s="373"/>
      <c r="C357" s="374"/>
      <c r="D357" s="375"/>
      <c r="E357" s="376">
        <v>6550</v>
      </c>
      <c r="F357" s="376">
        <v>6551</v>
      </c>
      <c r="G357" s="377">
        <v>1037106304</v>
      </c>
    </row>
    <row r="358" spans="1:7" s="370" customFormat="1" ht="15.6" customHeight="1" x14ac:dyDescent="0.25">
      <c r="A358" s="373"/>
      <c r="B358" s="373"/>
      <c r="C358" s="374"/>
      <c r="D358" s="375"/>
      <c r="E358" s="376"/>
      <c r="F358" s="376">
        <v>6552</v>
      </c>
      <c r="G358" s="377">
        <v>143666000</v>
      </c>
    </row>
    <row r="359" spans="1:7" s="370" customFormat="1" ht="15.6" customHeight="1" x14ac:dyDescent="0.25">
      <c r="A359" s="373"/>
      <c r="B359" s="373"/>
      <c r="C359" s="374"/>
      <c r="D359" s="375"/>
      <c r="E359" s="376"/>
      <c r="F359" s="376">
        <v>6599</v>
      </c>
      <c r="G359" s="377">
        <v>845301839</v>
      </c>
    </row>
    <row r="360" spans="1:7" s="370" customFormat="1" ht="15.6" customHeight="1" x14ac:dyDescent="0.25">
      <c r="A360" s="373"/>
      <c r="B360" s="373"/>
      <c r="C360" s="374"/>
      <c r="D360" s="375"/>
      <c r="E360" s="376">
        <v>6600</v>
      </c>
      <c r="F360" s="376">
        <v>6601</v>
      </c>
      <c r="G360" s="377">
        <v>6682866</v>
      </c>
    </row>
    <row r="361" spans="1:7" s="370" customFormat="1" ht="15.6" customHeight="1" x14ac:dyDescent="0.25">
      <c r="A361" s="373"/>
      <c r="B361" s="373"/>
      <c r="C361" s="374"/>
      <c r="D361" s="375"/>
      <c r="E361" s="376"/>
      <c r="F361" s="376">
        <v>6603</v>
      </c>
      <c r="G361" s="377">
        <v>5803755</v>
      </c>
    </row>
    <row r="362" spans="1:7" s="370" customFormat="1" ht="15.6" customHeight="1" x14ac:dyDescent="0.25">
      <c r="A362" s="373"/>
      <c r="B362" s="373"/>
      <c r="C362" s="374"/>
      <c r="D362" s="375"/>
      <c r="E362" s="376"/>
      <c r="F362" s="376">
        <v>6605</v>
      </c>
      <c r="G362" s="377">
        <v>408671917</v>
      </c>
    </row>
    <row r="363" spans="1:7" s="370" customFormat="1" ht="15.6" customHeight="1" x14ac:dyDescent="0.25">
      <c r="A363" s="373"/>
      <c r="B363" s="373"/>
      <c r="C363" s="374"/>
      <c r="D363" s="375"/>
      <c r="E363" s="376"/>
      <c r="F363" s="376">
        <v>6606</v>
      </c>
      <c r="G363" s="377">
        <v>32600000</v>
      </c>
    </row>
    <row r="364" spans="1:7" s="370" customFormat="1" ht="15.6" customHeight="1" x14ac:dyDescent="0.25">
      <c r="A364" s="373"/>
      <c r="B364" s="373"/>
      <c r="C364" s="374"/>
      <c r="D364" s="375"/>
      <c r="E364" s="376"/>
      <c r="F364" s="376">
        <v>6608</v>
      </c>
      <c r="G364" s="377">
        <v>12501500</v>
      </c>
    </row>
    <row r="365" spans="1:7" s="370" customFormat="1" ht="15.6" customHeight="1" x14ac:dyDescent="0.25">
      <c r="A365" s="373"/>
      <c r="B365" s="373"/>
      <c r="C365" s="374"/>
      <c r="D365" s="375"/>
      <c r="E365" s="376"/>
      <c r="F365" s="376">
        <v>6618</v>
      </c>
      <c r="G365" s="377">
        <v>6000000</v>
      </c>
    </row>
    <row r="366" spans="1:7" s="370" customFormat="1" ht="15.6" customHeight="1" x14ac:dyDescent="0.25">
      <c r="A366" s="373"/>
      <c r="B366" s="373"/>
      <c r="C366" s="374"/>
      <c r="D366" s="375"/>
      <c r="E366" s="376"/>
      <c r="F366" s="376">
        <v>6649</v>
      </c>
      <c r="G366" s="377">
        <v>87386190</v>
      </c>
    </row>
    <row r="367" spans="1:7" s="370" customFormat="1" ht="15.6" customHeight="1" x14ac:dyDescent="0.25">
      <c r="A367" s="373"/>
      <c r="B367" s="373"/>
      <c r="C367" s="374"/>
      <c r="D367" s="375"/>
      <c r="E367" s="376">
        <v>6650</v>
      </c>
      <c r="F367" s="376">
        <v>6651</v>
      </c>
      <c r="G367" s="377">
        <v>11215000</v>
      </c>
    </row>
    <row r="368" spans="1:7" s="370" customFormat="1" ht="15.6" customHeight="1" x14ac:dyDescent="0.25">
      <c r="A368" s="373"/>
      <c r="B368" s="373"/>
      <c r="C368" s="374"/>
      <c r="D368" s="375"/>
      <c r="E368" s="376"/>
      <c r="F368" s="376">
        <v>6655</v>
      </c>
      <c r="G368" s="377">
        <v>1800000</v>
      </c>
    </row>
    <row r="369" spans="1:7" s="370" customFormat="1" ht="15.6" customHeight="1" x14ac:dyDescent="0.25">
      <c r="A369" s="373"/>
      <c r="B369" s="373"/>
      <c r="C369" s="374"/>
      <c r="D369" s="375"/>
      <c r="E369" s="376"/>
      <c r="F369" s="376">
        <v>6699</v>
      </c>
      <c r="G369" s="377">
        <v>981538000</v>
      </c>
    </row>
    <row r="370" spans="1:7" s="370" customFormat="1" ht="15.6" customHeight="1" x14ac:dyDescent="0.25">
      <c r="A370" s="373"/>
      <c r="B370" s="373"/>
      <c r="C370" s="374"/>
      <c r="D370" s="375"/>
      <c r="E370" s="376">
        <v>6700</v>
      </c>
      <c r="F370" s="376">
        <v>6701</v>
      </c>
      <c r="G370" s="377">
        <v>120415000</v>
      </c>
    </row>
    <row r="371" spans="1:7" s="370" customFormat="1" ht="15.6" customHeight="1" x14ac:dyDescent="0.25">
      <c r="A371" s="373"/>
      <c r="B371" s="373"/>
      <c r="C371" s="374"/>
      <c r="D371" s="375"/>
      <c r="E371" s="376"/>
      <c r="F371" s="376">
        <v>6702</v>
      </c>
      <c r="G371" s="377">
        <v>291840000</v>
      </c>
    </row>
    <row r="372" spans="1:7" s="370" customFormat="1" ht="15.6" customHeight="1" x14ac:dyDescent="0.25">
      <c r="A372" s="373"/>
      <c r="B372" s="373"/>
      <c r="C372" s="374"/>
      <c r="D372" s="375"/>
      <c r="E372" s="376"/>
      <c r="F372" s="376">
        <v>6703</v>
      </c>
      <c r="G372" s="377">
        <v>138170000</v>
      </c>
    </row>
    <row r="373" spans="1:7" s="370" customFormat="1" ht="15.6" customHeight="1" x14ac:dyDescent="0.25">
      <c r="A373" s="373"/>
      <c r="B373" s="373"/>
      <c r="C373" s="374"/>
      <c r="D373" s="375"/>
      <c r="E373" s="376"/>
      <c r="F373" s="376">
        <v>6704</v>
      </c>
      <c r="G373" s="377">
        <v>3000000</v>
      </c>
    </row>
    <row r="374" spans="1:7" s="370" customFormat="1" ht="15.6" customHeight="1" x14ac:dyDescent="0.25">
      <c r="A374" s="373"/>
      <c r="B374" s="373"/>
      <c r="C374" s="374"/>
      <c r="D374" s="375"/>
      <c r="E374" s="376">
        <v>6750</v>
      </c>
      <c r="F374" s="376">
        <v>6751</v>
      </c>
      <c r="G374" s="377">
        <v>172853000</v>
      </c>
    </row>
    <row r="375" spans="1:7" s="370" customFormat="1" ht="15.6" customHeight="1" x14ac:dyDescent="0.25">
      <c r="A375" s="373"/>
      <c r="B375" s="373"/>
      <c r="C375" s="374"/>
      <c r="D375" s="375"/>
      <c r="E375" s="376"/>
      <c r="F375" s="376">
        <v>6799</v>
      </c>
      <c r="G375" s="377">
        <v>668966000</v>
      </c>
    </row>
    <row r="376" spans="1:7" s="370" customFormat="1" ht="15.6" customHeight="1" x14ac:dyDescent="0.25">
      <c r="A376" s="373"/>
      <c r="B376" s="373"/>
      <c r="C376" s="374"/>
      <c r="D376" s="375"/>
      <c r="E376" s="376">
        <v>6900</v>
      </c>
      <c r="F376" s="376">
        <v>6901</v>
      </c>
      <c r="G376" s="377">
        <v>131395000</v>
      </c>
    </row>
    <row r="377" spans="1:7" s="370" customFormat="1" ht="15.6" customHeight="1" x14ac:dyDescent="0.25">
      <c r="A377" s="373"/>
      <c r="B377" s="373"/>
      <c r="C377" s="374"/>
      <c r="D377" s="375"/>
      <c r="E377" s="376"/>
      <c r="F377" s="376">
        <v>6907</v>
      </c>
      <c r="G377" s="377">
        <v>4326796000</v>
      </c>
    </row>
    <row r="378" spans="1:7" s="370" customFormat="1" ht="15.6" customHeight="1" x14ac:dyDescent="0.25">
      <c r="A378" s="373"/>
      <c r="B378" s="373"/>
      <c r="C378" s="374"/>
      <c r="D378" s="375"/>
      <c r="E378" s="376"/>
      <c r="F378" s="376">
        <v>6912</v>
      </c>
      <c r="G378" s="377">
        <v>331130000</v>
      </c>
    </row>
    <row r="379" spans="1:7" s="370" customFormat="1" ht="15.6" customHeight="1" x14ac:dyDescent="0.25">
      <c r="A379" s="373"/>
      <c r="B379" s="373"/>
      <c r="C379" s="374"/>
      <c r="D379" s="375"/>
      <c r="E379" s="376"/>
      <c r="F379" s="376">
        <v>6913</v>
      </c>
      <c r="G379" s="377">
        <v>84233000</v>
      </c>
    </row>
    <row r="380" spans="1:7" s="370" customFormat="1" ht="15.6" customHeight="1" x14ac:dyDescent="0.25">
      <c r="A380" s="373"/>
      <c r="B380" s="373"/>
      <c r="C380" s="374"/>
      <c r="D380" s="375"/>
      <c r="E380" s="376"/>
      <c r="F380" s="376">
        <v>6921</v>
      </c>
      <c r="G380" s="377">
        <v>48073000</v>
      </c>
    </row>
    <row r="381" spans="1:7" s="370" customFormat="1" ht="15.6" customHeight="1" x14ac:dyDescent="0.25">
      <c r="A381" s="373"/>
      <c r="B381" s="373"/>
      <c r="C381" s="374"/>
      <c r="D381" s="375"/>
      <c r="E381" s="376">
        <v>6950</v>
      </c>
      <c r="F381" s="376">
        <v>6955</v>
      </c>
      <c r="G381" s="377">
        <v>191000000</v>
      </c>
    </row>
    <row r="382" spans="1:7" s="370" customFormat="1" ht="15.6" customHeight="1" x14ac:dyDescent="0.25">
      <c r="A382" s="373"/>
      <c r="B382" s="373"/>
      <c r="C382" s="374"/>
      <c r="D382" s="375"/>
      <c r="E382" s="376"/>
      <c r="F382" s="376">
        <v>6956</v>
      </c>
      <c r="G382" s="377">
        <v>234960000</v>
      </c>
    </row>
    <row r="383" spans="1:7" s="370" customFormat="1" ht="15.6" customHeight="1" x14ac:dyDescent="0.25">
      <c r="A383" s="373"/>
      <c r="B383" s="373"/>
      <c r="C383" s="374"/>
      <c r="D383" s="375"/>
      <c r="E383" s="376"/>
      <c r="F383" s="376">
        <v>6999</v>
      </c>
      <c r="G383" s="377">
        <v>173960000</v>
      </c>
    </row>
    <row r="384" spans="1:7" s="370" customFormat="1" ht="15.6" customHeight="1" x14ac:dyDescent="0.25">
      <c r="A384" s="373"/>
      <c r="B384" s="373"/>
      <c r="C384" s="374"/>
      <c r="D384" s="375"/>
      <c r="E384" s="376">
        <v>7000</v>
      </c>
      <c r="F384" s="376">
        <v>7001</v>
      </c>
      <c r="G384" s="377">
        <v>907726584</v>
      </c>
    </row>
    <row r="385" spans="1:7" s="370" customFormat="1" ht="15.6" customHeight="1" x14ac:dyDescent="0.25">
      <c r="A385" s="373"/>
      <c r="B385" s="373"/>
      <c r="C385" s="374"/>
      <c r="D385" s="375"/>
      <c r="E385" s="376"/>
      <c r="F385" s="376">
        <v>7004</v>
      </c>
      <c r="G385" s="377">
        <v>31574000</v>
      </c>
    </row>
    <row r="386" spans="1:7" s="370" customFormat="1" ht="15.6" customHeight="1" x14ac:dyDescent="0.25">
      <c r="A386" s="373"/>
      <c r="B386" s="373"/>
      <c r="C386" s="374"/>
      <c r="D386" s="375"/>
      <c r="E386" s="376"/>
      <c r="F386" s="376">
        <v>7049</v>
      </c>
      <c r="G386" s="377">
        <v>333069000</v>
      </c>
    </row>
    <row r="387" spans="1:7" s="370" customFormat="1" ht="15.6" customHeight="1" x14ac:dyDescent="0.25">
      <c r="A387" s="373"/>
      <c r="B387" s="373"/>
      <c r="C387" s="374"/>
      <c r="D387" s="375"/>
      <c r="E387" s="376">
        <v>7050</v>
      </c>
      <c r="F387" s="376">
        <v>7053</v>
      </c>
      <c r="G387" s="377">
        <v>255456000</v>
      </c>
    </row>
    <row r="388" spans="1:7" s="370" customFormat="1" ht="15.6" customHeight="1" x14ac:dyDescent="0.25">
      <c r="A388" s="373"/>
      <c r="B388" s="373"/>
      <c r="C388" s="374"/>
      <c r="D388" s="375"/>
      <c r="E388" s="376">
        <v>7750</v>
      </c>
      <c r="F388" s="376">
        <v>7756</v>
      </c>
      <c r="G388" s="377">
        <v>2788500</v>
      </c>
    </row>
    <row r="389" spans="1:7" s="370" customFormat="1" ht="15.6" customHeight="1" x14ac:dyDescent="0.25">
      <c r="A389" s="373"/>
      <c r="B389" s="373"/>
      <c r="C389" s="374"/>
      <c r="D389" s="375"/>
      <c r="E389" s="376"/>
      <c r="F389" s="376">
        <v>7757</v>
      </c>
      <c r="G389" s="377">
        <v>36106604</v>
      </c>
    </row>
    <row r="390" spans="1:7" s="370" customFormat="1" ht="15.6" customHeight="1" x14ac:dyDescent="0.25">
      <c r="A390" s="373"/>
      <c r="B390" s="373"/>
      <c r="C390" s="374"/>
      <c r="D390" s="375"/>
      <c r="E390" s="376"/>
      <c r="F390" s="376">
        <v>7761</v>
      </c>
      <c r="G390" s="377">
        <v>1187833400</v>
      </c>
    </row>
    <row r="391" spans="1:7" s="370" customFormat="1" ht="15.6" customHeight="1" x14ac:dyDescent="0.25">
      <c r="A391" s="373"/>
      <c r="B391" s="373"/>
      <c r="C391" s="374"/>
      <c r="D391" s="375"/>
      <c r="E391" s="376"/>
      <c r="F391" s="376">
        <v>7799</v>
      </c>
      <c r="G391" s="377">
        <v>1000000</v>
      </c>
    </row>
    <row r="392" spans="1:7" s="370" customFormat="1" ht="15.6" customHeight="1" x14ac:dyDescent="0.25">
      <c r="A392" s="373"/>
      <c r="B392" s="373"/>
      <c r="C392" s="374"/>
      <c r="D392" s="375"/>
      <c r="E392" s="376">
        <v>7850</v>
      </c>
      <c r="F392" s="376">
        <v>7851</v>
      </c>
      <c r="G392" s="377">
        <v>2035600</v>
      </c>
    </row>
    <row r="393" spans="1:7" s="370" customFormat="1" ht="15.6" customHeight="1" x14ac:dyDescent="0.25">
      <c r="A393" s="373"/>
      <c r="B393" s="373"/>
      <c r="C393" s="374"/>
      <c r="D393" s="375"/>
      <c r="E393" s="376"/>
      <c r="F393" s="376">
        <v>7852</v>
      </c>
      <c r="G393" s="377">
        <v>133815000</v>
      </c>
    </row>
    <row r="394" spans="1:7" s="370" customFormat="1" ht="15.6" customHeight="1" x14ac:dyDescent="0.25">
      <c r="A394" s="373"/>
      <c r="B394" s="373"/>
      <c r="C394" s="374"/>
      <c r="D394" s="375"/>
      <c r="E394" s="376"/>
      <c r="F394" s="376">
        <v>7853</v>
      </c>
      <c r="G394" s="377">
        <v>12712000</v>
      </c>
    </row>
    <row r="395" spans="1:7" s="370" customFormat="1" ht="15.6" customHeight="1" x14ac:dyDescent="0.25">
      <c r="A395" s="373"/>
      <c r="B395" s="373"/>
      <c r="C395" s="374"/>
      <c r="D395" s="375"/>
      <c r="E395" s="376"/>
      <c r="F395" s="376">
        <v>7854</v>
      </c>
      <c r="G395" s="377">
        <v>64282600</v>
      </c>
    </row>
    <row r="396" spans="1:7" s="370" customFormat="1" ht="15.6" customHeight="1" x14ac:dyDescent="0.25">
      <c r="A396" s="373"/>
      <c r="B396" s="373"/>
      <c r="C396" s="374"/>
      <c r="D396" s="375"/>
      <c r="E396" s="376"/>
      <c r="F396" s="376">
        <v>7899</v>
      </c>
      <c r="G396" s="377">
        <v>11159000</v>
      </c>
    </row>
    <row r="397" spans="1:7" s="370" customFormat="1" ht="15.6" customHeight="1" x14ac:dyDescent="0.25">
      <c r="A397" s="373"/>
      <c r="B397" s="373"/>
      <c r="C397" s="374"/>
      <c r="D397" s="375"/>
      <c r="E397" s="376">
        <v>8000</v>
      </c>
      <c r="F397" s="376">
        <v>8006</v>
      </c>
      <c r="G397" s="377">
        <v>55441343745</v>
      </c>
    </row>
    <row r="398" spans="1:7" s="370" customFormat="1" ht="15.6" customHeight="1" x14ac:dyDescent="0.25">
      <c r="A398" s="373"/>
      <c r="B398" s="373"/>
      <c r="C398" s="374"/>
      <c r="D398" s="375">
        <v>351</v>
      </c>
      <c r="E398" s="376">
        <v>6000</v>
      </c>
      <c r="F398" s="376">
        <v>6001</v>
      </c>
      <c r="G398" s="377">
        <v>3045449600</v>
      </c>
    </row>
    <row r="399" spans="1:7" s="370" customFormat="1" ht="15.6" customHeight="1" x14ac:dyDescent="0.25">
      <c r="A399" s="373"/>
      <c r="B399" s="373"/>
      <c r="C399" s="374"/>
      <c r="D399" s="375"/>
      <c r="E399" s="376">
        <v>6050</v>
      </c>
      <c r="F399" s="376">
        <v>6051</v>
      </c>
      <c r="G399" s="377">
        <v>290642000</v>
      </c>
    </row>
    <row r="400" spans="1:7" s="370" customFormat="1" ht="15.6" customHeight="1" x14ac:dyDescent="0.25">
      <c r="A400" s="373"/>
      <c r="B400" s="373"/>
      <c r="C400" s="374"/>
      <c r="D400" s="375"/>
      <c r="E400" s="376">
        <v>6100</v>
      </c>
      <c r="F400" s="376">
        <v>6101</v>
      </c>
      <c r="G400" s="377">
        <v>116119000</v>
      </c>
    </row>
    <row r="401" spans="1:7" s="370" customFormat="1" ht="15.6" customHeight="1" x14ac:dyDescent="0.25">
      <c r="A401" s="373"/>
      <c r="B401" s="373"/>
      <c r="C401" s="374"/>
      <c r="D401" s="375"/>
      <c r="E401" s="376"/>
      <c r="F401" s="376">
        <v>6102</v>
      </c>
      <c r="G401" s="377">
        <v>365040000</v>
      </c>
    </row>
    <row r="402" spans="1:7" s="370" customFormat="1" ht="15.6" customHeight="1" x14ac:dyDescent="0.25">
      <c r="A402" s="373"/>
      <c r="B402" s="373"/>
      <c r="C402" s="374"/>
      <c r="D402" s="375"/>
      <c r="E402" s="376"/>
      <c r="F402" s="376">
        <v>6105</v>
      </c>
      <c r="G402" s="377">
        <v>248924659</v>
      </c>
    </row>
    <row r="403" spans="1:7" s="370" customFormat="1" ht="15.6" customHeight="1" x14ac:dyDescent="0.25">
      <c r="A403" s="373"/>
      <c r="B403" s="373"/>
      <c r="C403" s="374"/>
      <c r="D403" s="375"/>
      <c r="E403" s="376"/>
      <c r="F403" s="376">
        <v>6113</v>
      </c>
      <c r="G403" s="377">
        <v>54138200</v>
      </c>
    </row>
    <row r="404" spans="1:7" s="370" customFormat="1" ht="15.6" customHeight="1" x14ac:dyDescent="0.25">
      <c r="A404" s="373"/>
      <c r="B404" s="373"/>
      <c r="C404" s="374"/>
      <c r="D404" s="375"/>
      <c r="E404" s="376"/>
      <c r="F404" s="376">
        <v>6115</v>
      </c>
      <c r="G404" s="377">
        <v>66813900</v>
      </c>
    </row>
    <row r="405" spans="1:7" s="370" customFormat="1" ht="15.6" customHeight="1" x14ac:dyDescent="0.25">
      <c r="A405" s="373"/>
      <c r="B405" s="373"/>
      <c r="C405" s="374"/>
      <c r="D405" s="375"/>
      <c r="E405" s="376"/>
      <c r="F405" s="376">
        <v>6123</v>
      </c>
      <c r="G405" s="377">
        <v>867674800</v>
      </c>
    </row>
    <row r="406" spans="1:7" s="370" customFormat="1" ht="15.6" customHeight="1" x14ac:dyDescent="0.25">
      <c r="A406" s="373"/>
      <c r="B406" s="373"/>
      <c r="C406" s="374"/>
      <c r="D406" s="375"/>
      <c r="E406" s="376"/>
      <c r="F406" s="376">
        <v>6124</v>
      </c>
      <c r="G406" s="377">
        <v>791718200</v>
      </c>
    </row>
    <row r="407" spans="1:7" s="370" customFormat="1" ht="15.6" customHeight="1" x14ac:dyDescent="0.25">
      <c r="A407" s="373"/>
      <c r="B407" s="373"/>
      <c r="C407" s="374"/>
      <c r="D407" s="375"/>
      <c r="E407" s="376"/>
      <c r="F407" s="376">
        <v>6149</v>
      </c>
      <c r="G407" s="377">
        <v>257517000</v>
      </c>
    </row>
    <row r="408" spans="1:7" s="370" customFormat="1" ht="15.6" customHeight="1" x14ac:dyDescent="0.25">
      <c r="A408" s="373"/>
      <c r="B408" s="373"/>
      <c r="C408" s="374"/>
      <c r="D408" s="375"/>
      <c r="E408" s="376">
        <v>6200</v>
      </c>
      <c r="F408" s="376">
        <v>6201</v>
      </c>
      <c r="G408" s="377">
        <v>7560501</v>
      </c>
    </row>
    <row r="409" spans="1:7" s="370" customFormat="1" ht="15.6" customHeight="1" x14ac:dyDescent="0.25">
      <c r="A409" s="373"/>
      <c r="B409" s="373"/>
      <c r="C409" s="374"/>
      <c r="D409" s="375"/>
      <c r="E409" s="376"/>
      <c r="F409" s="376">
        <v>6249</v>
      </c>
      <c r="G409" s="377">
        <v>20124000</v>
      </c>
    </row>
    <row r="410" spans="1:7" s="370" customFormat="1" ht="15.6" customHeight="1" x14ac:dyDescent="0.25">
      <c r="A410" s="373"/>
      <c r="B410" s="373"/>
      <c r="C410" s="374"/>
      <c r="D410" s="375"/>
      <c r="E410" s="376">
        <v>6250</v>
      </c>
      <c r="F410" s="376">
        <v>6253</v>
      </c>
      <c r="G410" s="377">
        <v>2012000</v>
      </c>
    </row>
    <row r="411" spans="1:7" s="370" customFormat="1" ht="15.6" customHeight="1" x14ac:dyDescent="0.25">
      <c r="A411" s="373"/>
      <c r="B411" s="373"/>
      <c r="C411" s="374"/>
      <c r="D411" s="375"/>
      <c r="E411" s="376"/>
      <c r="F411" s="376">
        <v>6299</v>
      </c>
      <c r="G411" s="377">
        <v>135400000</v>
      </c>
    </row>
    <row r="412" spans="1:7" s="370" customFormat="1" ht="15.6" customHeight="1" x14ac:dyDescent="0.25">
      <c r="A412" s="373"/>
      <c r="B412" s="373"/>
      <c r="C412" s="374"/>
      <c r="D412" s="375"/>
      <c r="E412" s="376">
        <v>6300</v>
      </c>
      <c r="F412" s="376">
        <v>6301</v>
      </c>
      <c r="G412" s="377">
        <v>563995700</v>
      </c>
    </row>
    <row r="413" spans="1:7" s="370" customFormat="1" ht="15.6" customHeight="1" x14ac:dyDescent="0.25">
      <c r="A413" s="373"/>
      <c r="B413" s="373"/>
      <c r="C413" s="374"/>
      <c r="D413" s="375"/>
      <c r="E413" s="376"/>
      <c r="F413" s="376">
        <v>6302</v>
      </c>
      <c r="G413" s="377">
        <v>98772700</v>
      </c>
    </row>
    <row r="414" spans="1:7" s="370" customFormat="1" ht="15.6" customHeight="1" x14ac:dyDescent="0.25">
      <c r="A414" s="373"/>
      <c r="B414" s="373"/>
      <c r="C414" s="374"/>
      <c r="D414" s="375"/>
      <c r="E414" s="376"/>
      <c r="F414" s="376">
        <v>6303</v>
      </c>
      <c r="G414" s="377">
        <v>38991900</v>
      </c>
    </row>
    <row r="415" spans="1:7" s="370" customFormat="1" ht="15.6" customHeight="1" x14ac:dyDescent="0.25">
      <c r="A415" s="373"/>
      <c r="B415" s="373"/>
      <c r="C415" s="374"/>
      <c r="D415" s="375"/>
      <c r="E415" s="376">
        <v>6400</v>
      </c>
      <c r="F415" s="376">
        <v>6401</v>
      </c>
      <c r="G415" s="377">
        <v>5850000</v>
      </c>
    </row>
    <row r="416" spans="1:7" s="370" customFormat="1" ht="15.6" customHeight="1" x14ac:dyDescent="0.25">
      <c r="A416" s="373"/>
      <c r="B416" s="373"/>
      <c r="C416" s="374"/>
      <c r="D416" s="375"/>
      <c r="E416" s="376">
        <v>6500</v>
      </c>
      <c r="F416" s="376">
        <v>6503</v>
      </c>
      <c r="G416" s="377">
        <v>210530611</v>
      </c>
    </row>
    <row r="417" spans="1:7" s="370" customFormat="1" ht="15.6" customHeight="1" x14ac:dyDescent="0.25">
      <c r="A417" s="373"/>
      <c r="B417" s="373"/>
      <c r="C417" s="374"/>
      <c r="D417" s="375"/>
      <c r="E417" s="376"/>
      <c r="F417" s="376">
        <v>6504</v>
      </c>
      <c r="G417" s="377">
        <v>48600000</v>
      </c>
    </row>
    <row r="418" spans="1:7" s="370" customFormat="1" ht="15.6" customHeight="1" x14ac:dyDescent="0.25">
      <c r="A418" s="373"/>
      <c r="B418" s="373"/>
      <c r="C418" s="374"/>
      <c r="D418" s="375"/>
      <c r="E418" s="376"/>
      <c r="F418" s="376">
        <v>6549</v>
      </c>
      <c r="G418" s="377">
        <v>2000000</v>
      </c>
    </row>
    <row r="419" spans="1:7" s="370" customFormat="1" ht="15.6" customHeight="1" x14ac:dyDescent="0.25">
      <c r="A419" s="373"/>
      <c r="B419" s="373"/>
      <c r="C419" s="374"/>
      <c r="D419" s="375"/>
      <c r="E419" s="376">
        <v>6550</v>
      </c>
      <c r="F419" s="376">
        <v>6551</v>
      </c>
      <c r="G419" s="377">
        <v>74725000</v>
      </c>
    </row>
    <row r="420" spans="1:7" s="370" customFormat="1" ht="15.6" customHeight="1" x14ac:dyDescent="0.25">
      <c r="A420" s="373"/>
      <c r="B420" s="373"/>
      <c r="C420" s="374"/>
      <c r="D420" s="375"/>
      <c r="E420" s="376"/>
      <c r="F420" s="376">
        <v>6599</v>
      </c>
      <c r="G420" s="377">
        <v>43731000</v>
      </c>
    </row>
    <row r="421" spans="1:7" s="370" customFormat="1" ht="15.6" customHeight="1" x14ac:dyDescent="0.25">
      <c r="A421" s="373"/>
      <c r="B421" s="373"/>
      <c r="C421" s="374"/>
      <c r="D421" s="375"/>
      <c r="E421" s="376">
        <v>6600</v>
      </c>
      <c r="F421" s="376">
        <v>6601</v>
      </c>
      <c r="G421" s="377">
        <v>5461997</v>
      </c>
    </row>
    <row r="422" spans="1:7" s="370" customFormat="1" ht="15.6" customHeight="1" x14ac:dyDescent="0.25">
      <c r="A422" s="373"/>
      <c r="B422" s="373"/>
      <c r="C422" s="374"/>
      <c r="D422" s="375"/>
      <c r="E422" s="376"/>
      <c r="F422" s="376">
        <v>6603</v>
      </c>
      <c r="G422" s="377">
        <v>9802605</v>
      </c>
    </row>
    <row r="423" spans="1:7" s="370" customFormat="1" ht="15.6" customHeight="1" x14ac:dyDescent="0.25">
      <c r="A423" s="373"/>
      <c r="B423" s="373"/>
      <c r="C423" s="374"/>
      <c r="D423" s="375"/>
      <c r="E423" s="376"/>
      <c r="F423" s="376">
        <v>6605</v>
      </c>
      <c r="G423" s="377">
        <v>113680782</v>
      </c>
    </row>
    <row r="424" spans="1:7" s="370" customFormat="1" ht="15.6" customHeight="1" x14ac:dyDescent="0.25">
      <c r="A424" s="373"/>
      <c r="B424" s="373"/>
      <c r="C424" s="374"/>
      <c r="D424" s="375"/>
      <c r="E424" s="376"/>
      <c r="F424" s="376">
        <v>6606</v>
      </c>
      <c r="G424" s="377">
        <v>35300000</v>
      </c>
    </row>
    <row r="425" spans="1:7" s="370" customFormat="1" ht="15.6" customHeight="1" x14ac:dyDescent="0.25">
      <c r="A425" s="373"/>
      <c r="B425" s="373"/>
      <c r="C425" s="374"/>
      <c r="D425" s="375"/>
      <c r="E425" s="376"/>
      <c r="F425" s="376">
        <v>6608</v>
      </c>
      <c r="G425" s="377">
        <v>11132800</v>
      </c>
    </row>
    <row r="426" spans="1:7" s="370" customFormat="1" ht="15.6" customHeight="1" x14ac:dyDescent="0.25">
      <c r="A426" s="373"/>
      <c r="B426" s="373"/>
      <c r="C426" s="374"/>
      <c r="D426" s="375"/>
      <c r="E426" s="376">
        <v>6650</v>
      </c>
      <c r="F426" s="376">
        <v>6653</v>
      </c>
      <c r="G426" s="377">
        <v>1046000</v>
      </c>
    </row>
    <row r="427" spans="1:7" s="370" customFormat="1" ht="15.6" customHeight="1" x14ac:dyDescent="0.25">
      <c r="A427" s="373"/>
      <c r="B427" s="373"/>
      <c r="C427" s="374"/>
      <c r="D427" s="375"/>
      <c r="E427" s="376"/>
      <c r="F427" s="376">
        <v>6699</v>
      </c>
      <c r="G427" s="377">
        <v>437421700</v>
      </c>
    </row>
    <row r="428" spans="1:7" s="370" customFormat="1" ht="15.6" customHeight="1" x14ac:dyDescent="0.25">
      <c r="A428" s="373"/>
      <c r="B428" s="373"/>
      <c r="C428" s="374"/>
      <c r="D428" s="375"/>
      <c r="E428" s="376">
        <v>6700</v>
      </c>
      <c r="F428" s="376">
        <v>6701</v>
      </c>
      <c r="G428" s="377">
        <v>4338000</v>
      </c>
    </row>
    <row r="429" spans="1:7" s="370" customFormat="1" ht="15.6" customHeight="1" x14ac:dyDescent="0.25">
      <c r="A429" s="373"/>
      <c r="B429" s="373"/>
      <c r="C429" s="374"/>
      <c r="D429" s="375"/>
      <c r="E429" s="376"/>
      <c r="F429" s="376">
        <v>6702</v>
      </c>
      <c r="G429" s="377">
        <v>46840000</v>
      </c>
    </row>
    <row r="430" spans="1:7" s="370" customFormat="1" ht="15.6" customHeight="1" x14ac:dyDescent="0.25">
      <c r="A430" s="373"/>
      <c r="B430" s="373"/>
      <c r="C430" s="374"/>
      <c r="D430" s="375"/>
      <c r="E430" s="376"/>
      <c r="F430" s="376">
        <v>6703</v>
      </c>
      <c r="G430" s="377">
        <v>28750000</v>
      </c>
    </row>
    <row r="431" spans="1:7" s="370" customFormat="1" ht="15.6" customHeight="1" x14ac:dyDescent="0.25">
      <c r="A431" s="373"/>
      <c r="B431" s="373"/>
      <c r="C431" s="374"/>
      <c r="D431" s="375"/>
      <c r="E431" s="376"/>
      <c r="F431" s="376">
        <v>6704</v>
      </c>
      <c r="G431" s="377">
        <v>3000000</v>
      </c>
    </row>
    <row r="432" spans="1:7" s="370" customFormat="1" ht="15.6" customHeight="1" x14ac:dyDescent="0.25">
      <c r="A432" s="373"/>
      <c r="B432" s="373"/>
      <c r="C432" s="374"/>
      <c r="D432" s="375"/>
      <c r="E432" s="376">
        <v>6750</v>
      </c>
      <c r="F432" s="376">
        <v>6751</v>
      </c>
      <c r="G432" s="377">
        <v>81275000</v>
      </c>
    </row>
    <row r="433" spans="1:7" s="370" customFormat="1" ht="15.6" customHeight="1" x14ac:dyDescent="0.25">
      <c r="A433" s="373"/>
      <c r="B433" s="373"/>
      <c r="C433" s="374"/>
      <c r="D433" s="375"/>
      <c r="E433" s="376">
        <v>6900</v>
      </c>
      <c r="F433" s="376">
        <v>6901</v>
      </c>
      <c r="G433" s="377">
        <v>60795000</v>
      </c>
    </row>
    <row r="434" spans="1:7" s="370" customFormat="1" ht="15.6" customHeight="1" x14ac:dyDescent="0.25">
      <c r="A434" s="373"/>
      <c r="B434" s="373"/>
      <c r="C434" s="374"/>
      <c r="D434" s="375"/>
      <c r="E434" s="376"/>
      <c r="F434" s="376">
        <v>6912</v>
      </c>
      <c r="G434" s="377">
        <v>41860000</v>
      </c>
    </row>
    <row r="435" spans="1:7" s="370" customFormat="1" ht="15.6" customHeight="1" x14ac:dyDescent="0.25">
      <c r="A435" s="373"/>
      <c r="B435" s="373"/>
      <c r="C435" s="374"/>
      <c r="D435" s="375"/>
      <c r="E435" s="376"/>
      <c r="F435" s="376">
        <v>6913</v>
      </c>
      <c r="G435" s="377">
        <v>101995000</v>
      </c>
    </row>
    <row r="436" spans="1:7" s="370" customFormat="1" ht="15.6" customHeight="1" x14ac:dyDescent="0.25">
      <c r="A436" s="373"/>
      <c r="B436" s="373"/>
      <c r="C436" s="374"/>
      <c r="D436" s="375"/>
      <c r="E436" s="376">
        <v>7000</v>
      </c>
      <c r="F436" s="376">
        <v>7001</v>
      </c>
      <c r="G436" s="377">
        <v>219237000</v>
      </c>
    </row>
    <row r="437" spans="1:7" s="370" customFormat="1" ht="15.6" customHeight="1" x14ac:dyDescent="0.25">
      <c r="A437" s="373"/>
      <c r="B437" s="373"/>
      <c r="C437" s="374"/>
      <c r="D437" s="375"/>
      <c r="E437" s="376"/>
      <c r="F437" s="376">
        <v>7049</v>
      </c>
      <c r="G437" s="377">
        <v>580250000</v>
      </c>
    </row>
    <row r="438" spans="1:7" s="370" customFormat="1" ht="15.6" customHeight="1" x14ac:dyDescent="0.25">
      <c r="A438" s="373"/>
      <c r="B438" s="373"/>
      <c r="C438" s="374"/>
      <c r="D438" s="375"/>
      <c r="E438" s="376">
        <v>7750</v>
      </c>
      <c r="F438" s="376">
        <v>7756</v>
      </c>
      <c r="G438" s="377">
        <v>10473945</v>
      </c>
    </row>
    <row r="439" spans="1:7" s="370" customFormat="1" ht="15.6" customHeight="1" x14ac:dyDescent="0.25">
      <c r="A439" s="373"/>
      <c r="B439" s="373"/>
      <c r="C439" s="374"/>
      <c r="D439" s="375"/>
      <c r="E439" s="376"/>
      <c r="F439" s="376">
        <v>7757</v>
      </c>
      <c r="G439" s="377">
        <v>10727400</v>
      </c>
    </row>
    <row r="440" spans="1:7" s="370" customFormat="1" ht="15.6" customHeight="1" x14ac:dyDescent="0.25">
      <c r="A440" s="373"/>
      <c r="B440" s="373"/>
      <c r="C440" s="374"/>
      <c r="D440" s="375"/>
      <c r="E440" s="376"/>
      <c r="F440" s="376">
        <v>7761</v>
      </c>
      <c r="G440" s="377">
        <v>279426000</v>
      </c>
    </row>
    <row r="441" spans="1:7" s="370" customFormat="1" ht="15.6" customHeight="1" x14ac:dyDescent="0.25">
      <c r="A441" s="373"/>
      <c r="B441" s="373"/>
      <c r="C441" s="374"/>
      <c r="D441" s="375"/>
      <c r="E441" s="376"/>
      <c r="F441" s="376">
        <v>7799</v>
      </c>
      <c r="G441" s="377">
        <v>122700000</v>
      </c>
    </row>
    <row r="442" spans="1:7" s="370" customFormat="1" ht="15.6" customHeight="1" x14ac:dyDescent="0.25">
      <c r="A442" s="373"/>
      <c r="B442" s="373"/>
      <c r="C442" s="374"/>
      <c r="D442" s="375"/>
      <c r="E442" s="376">
        <v>7850</v>
      </c>
      <c r="F442" s="376">
        <v>7851</v>
      </c>
      <c r="G442" s="377">
        <v>57766800</v>
      </c>
    </row>
    <row r="443" spans="1:7" s="370" customFormat="1" ht="15.6" customHeight="1" x14ac:dyDescent="0.25">
      <c r="A443" s="373"/>
      <c r="B443" s="373"/>
      <c r="C443" s="374"/>
      <c r="D443" s="375"/>
      <c r="E443" s="376"/>
      <c r="F443" s="376">
        <v>7852</v>
      </c>
      <c r="G443" s="377">
        <v>983202000</v>
      </c>
    </row>
    <row r="444" spans="1:7" s="370" customFormat="1" ht="15.6" customHeight="1" x14ac:dyDescent="0.25">
      <c r="A444" s="373"/>
      <c r="B444" s="373"/>
      <c r="C444" s="374"/>
      <c r="D444" s="375"/>
      <c r="E444" s="376"/>
      <c r="F444" s="376">
        <v>7854</v>
      </c>
      <c r="G444" s="377">
        <v>1517343832</v>
      </c>
    </row>
    <row r="445" spans="1:7" s="370" customFormat="1" ht="15.6" customHeight="1" x14ac:dyDescent="0.25">
      <c r="A445" s="373"/>
      <c r="B445" s="373"/>
      <c r="C445" s="374"/>
      <c r="D445" s="375"/>
      <c r="E445" s="376"/>
      <c r="F445" s="376">
        <v>7899</v>
      </c>
      <c r="G445" s="377">
        <v>1677113168</v>
      </c>
    </row>
    <row r="446" spans="1:7" s="370" customFormat="1" ht="15.6" customHeight="1" x14ac:dyDescent="0.25">
      <c r="A446" s="373"/>
      <c r="B446" s="373"/>
      <c r="C446" s="374"/>
      <c r="D446" s="375"/>
      <c r="E446" s="376">
        <v>8000</v>
      </c>
      <c r="F446" s="376">
        <v>8006</v>
      </c>
      <c r="G446" s="377">
        <v>9044734432</v>
      </c>
    </row>
    <row r="447" spans="1:7" s="370" customFormat="1" ht="15.6" customHeight="1" x14ac:dyDescent="0.25">
      <c r="A447" s="373"/>
      <c r="B447" s="373"/>
      <c r="C447" s="374"/>
      <c r="D447" s="375">
        <v>361</v>
      </c>
      <c r="E447" s="376">
        <v>6000</v>
      </c>
      <c r="F447" s="376">
        <v>6001</v>
      </c>
      <c r="G447" s="377">
        <v>1625706256</v>
      </c>
    </row>
    <row r="448" spans="1:7" s="370" customFormat="1" ht="15.6" customHeight="1" x14ac:dyDescent="0.25">
      <c r="A448" s="373"/>
      <c r="B448" s="373"/>
      <c r="C448" s="374"/>
      <c r="D448" s="375"/>
      <c r="E448" s="376">
        <v>6100</v>
      </c>
      <c r="F448" s="376">
        <v>6101</v>
      </c>
      <c r="G448" s="377">
        <v>61690809</v>
      </c>
    </row>
    <row r="449" spans="1:7" s="370" customFormat="1" ht="15.6" customHeight="1" x14ac:dyDescent="0.25">
      <c r="A449" s="373"/>
      <c r="B449" s="373"/>
      <c r="C449" s="374"/>
      <c r="D449" s="375"/>
      <c r="E449" s="376"/>
      <c r="F449" s="376">
        <v>6102</v>
      </c>
      <c r="G449" s="377">
        <v>200070000</v>
      </c>
    </row>
    <row r="450" spans="1:7" s="370" customFormat="1" ht="15.6" customHeight="1" x14ac:dyDescent="0.25">
      <c r="A450" s="373"/>
      <c r="B450" s="373"/>
      <c r="C450" s="374"/>
      <c r="D450" s="375"/>
      <c r="E450" s="376"/>
      <c r="F450" s="376">
        <v>6105</v>
      </c>
      <c r="G450" s="377">
        <v>204058000</v>
      </c>
    </row>
    <row r="451" spans="1:7" s="370" customFormat="1" ht="15.6" customHeight="1" x14ac:dyDescent="0.25">
      <c r="A451" s="373"/>
      <c r="B451" s="373"/>
      <c r="C451" s="374"/>
      <c r="D451" s="375"/>
      <c r="E451" s="376"/>
      <c r="F451" s="376">
        <v>6113</v>
      </c>
      <c r="G451" s="377">
        <v>2808000</v>
      </c>
    </row>
    <row r="452" spans="1:7" s="370" customFormat="1" ht="15.6" customHeight="1" x14ac:dyDescent="0.25">
      <c r="A452" s="373"/>
      <c r="B452" s="373"/>
      <c r="C452" s="374"/>
      <c r="D452" s="375"/>
      <c r="E452" s="376"/>
      <c r="F452" s="376">
        <v>6115</v>
      </c>
      <c r="G452" s="377">
        <v>17029566</v>
      </c>
    </row>
    <row r="453" spans="1:7" s="370" customFormat="1" ht="15.6" customHeight="1" x14ac:dyDescent="0.25">
      <c r="A453" s="373"/>
      <c r="B453" s="373"/>
      <c r="C453" s="374"/>
      <c r="D453" s="375"/>
      <c r="E453" s="376"/>
      <c r="F453" s="376">
        <v>6121</v>
      </c>
      <c r="G453" s="377">
        <v>14040000</v>
      </c>
    </row>
    <row r="454" spans="1:7" s="370" customFormat="1" ht="15.6" customHeight="1" x14ac:dyDescent="0.25">
      <c r="A454" s="373"/>
      <c r="B454" s="373"/>
      <c r="C454" s="374"/>
      <c r="D454" s="375"/>
      <c r="E454" s="376"/>
      <c r="F454" s="376">
        <v>6123</v>
      </c>
      <c r="G454" s="377">
        <v>451225326</v>
      </c>
    </row>
    <row r="455" spans="1:7" s="370" customFormat="1" ht="15.6" customHeight="1" x14ac:dyDescent="0.25">
      <c r="A455" s="373"/>
      <c r="B455" s="373"/>
      <c r="C455" s="374"/>
      <c r="D455" s="375"/>
      <c r="E455" s="376"/>
      <c r="F455" s="376">
        <v>6124</v>
      </c>
      <c r="G455" s="377">
        <v>424943011</v>
      </c>
    </row>
    <row r="456" spans="1:7" s="370" customFormat="1" ht="15.6" customHeight="1" x14ac:dyDescent="0.25">
      <c r="A456" s="373"/>
      <c r="B456" s="373"/>
      <c r="C456" s="374"/>
      <c r="D456" s="375"/>
      <c r="E456" s="376"/>
      <c r="F456" s="376">
        <v>6149</v>
      </c>
      <c r="G456" s="377">
        <v>3510000</v>
      </c>
    </row>
    <row r="457" spans="1:7" s="370" customFormat="1" ht="15.6" customHeight="1" x14ac:dyDescent="0.25">
      <c r="A457" s="373"/>
      <c r="B457" s="373"/>
      <c r="C457" s="374"/>
      <c r="D457" s="375"/>
      <c r="E457" s="376">
        <v>6200</v>
      </c>
      <c r="F457" s="376">
        <v>6201</v>
      </c>
      <c r="G457" s="377">
        <v>101846160</v>
      </c>
    </row>
    <row r="458" spans="1:7" s="370" customFormat="1" ht="15.6" customHeight="1" x14ac:dyDescent="0.25">
      <c r="A458" s="373"/>
      <c r="B458" s="373"/>
      <c r="C458" s="374"/>
      <c r="D458" s="375"/>
      <c r="E458" s="376"/>
      <c r="F458" s="376">
        <v>6249</v>
      </c>
      <c r="G458" s="377">
        <v>3510000</v>
      </c>
    </row>
    <row r="459" spans="1:7" s="370" customFormat="1" ht="15.6" customHeight="1" x14ac:dyDescent="0.25">
      <c r="A459" s="373"/>
      <c r="B459" s="373"/>
      <c r="C459" s="374"/>
      <c r="D459" s="375"/>
      <c r="E459" s="376">
        <v>6250</v>
      </c>
      <c r="F459" s="376">
        <v>6299</v>
      </c>
      <c r="G459" s="377">
        <v>5600000</v>
      </c>
    </row>
    <row r="460" spans="1:7" s="370" customFormat="1" ht="15.6" customHeight="1" x14ac:dyDescent="0.25">
      <c r="A460" s="373"/>
      <c r="B460" s="373"/>
      <c r="C460" s="374"/>
      <c r="D460" s="375"/>
      <c r="E460" s="376">
        <v>6300</v>
      </c>
      <c r="F460" s="376">
        <v>6301</v>
      </c>
      <c r="G460" s="377">
        <v>284957635</v>
      </c>
    </row>
    <row r="461" spans="1:7" s="370" customFormat="1" ht="15.6" customHeight="1" x14ac:dyDescent="0.25">
      <c r="A461" s="373"/>
      <c r="B461" s="373"/>
      <c r="C461" s="374"/>
      <c r="D461" s="375"/>
      <c r="E461" s="376"/>
      <c r="F461" s="376">
        <v>6302</v>
      </c>
      <c r="G461" s="377">
        <v>49031069</v>
      </c>
    </row>
    <row r="462" spans="1:7" s="370" customFormat="1" ht="15.6" customHeight="1" x14ac:dyDescent="0.25">
      <c r="A462" s="373"/>
      <c r="B462" s="373"/>
      <c r="C462" s="374"/>
      <c r="D462" s="375"/>
      <c r="E462" s="376"/>
      <c r="F462" s="376">
        <v>6303</v>
      </c>
      <c r="G462" s="377">
        <v>22813874</v>
      </c>
    </row>
    <row r="463" spans="1:7" s="370" customFormat="1" ht="15.6" customHeight="1" x14ac:dyDescent="0.25">
      <c r="A463" s="373"/>
      <c r="B463" s="373"/>
      <c r="C463" s="374"/>
      <c r="D463" s="375"/>
      <c r="E463" s="376">
        <v>6400</v>
      </c>
      <c r="F463" s="376">
        <v>6404</v>
      </c>
      <c r="G463" s="377">
        <v>27585000</v>
      </c>
    </row>
    <row r="464" spans="1:7" s="370" customFormat="1" ht="15.6" customHeight="1" x14ac:dyDescent="0.25">
      <c r="A464" s="373"/>
      <c r="B464" s="373"/>
      <c r="C464" s="374"/>
      <c r="D464" s="375"/>
      <c r="E464" s="376">
        <v>6500</v>
      </c>
      <c r="F464" s="376">
        <v>6504</v>
      </c>
      <c r="G464" s="377">
        <v>878400</v>
      </c>
    </row>
    <row r="465" spans="1:7" s="370" customFormat="1" ht="15.6" customHeight="1" x14ac:dyDescent="0.25">
      <c r="A465" s="373"/>
      <c r="B465" s="373"/>
      <c r="C465" s="374"/>
      <c r="D465" s="375"/>
      <c r="E465" s="376">
        <v>6550</v>
      </c>
      <c r="F465" s="376">
        <v>6551</v>
      </c>
      <c r="G465" s="377">
        <v>175853330</v>
      </c>
    </row>
    <row r="466" spans="1:7" s="370" customFormat="1" ht="15.6" customHeight="1" x14ac:dyDescent="0.25">
      <c r="A466" s="373"/>
      <c r="B466" s="373"/>
      <c r="C466" s="374"/>
      <c r="D466" s="375"/>
      <c r="E466" s="376"/>
      <c r="F466" s="376">
        <v>6552</v>
      </c>
      <c r="G466" s="377">
        <v>15700000</v>
      </c>
    </row>
    <row r="467" spans="1:7" s="370" customFormat="1" ht="15.6" customHeight="1" x14ac:dyDescent="0.25">
      <c r="A467" s="373"/>
      <c r="B467" s="373"/>
      <c r="C467" s="374"/>
      <c r="D467" s="375"/>
      <c r="E467" s="376"/>
      <c r="F467" s="376">
        <v>6599</v>
      </c>
      <c r="G467" s="377">
        <v>136977000</v>
      </c>
    </row>
    <row r="468" spans="1:7" s="370" customFormat="1" ht="15.6" customHeight="1" x14ac:dyDescent="0.25">
      <c r="A468" s="373"/>
      <c r="B468" s="373"/>
      <c r="C468" s="374"/>
      <c r="D468" s="375"/>
      <c r="E468" s="376">
        <v>6600</v>
      </c>
      <c r="F468" s="376">
        <v>6601</v>
      </c>
      <c r="G468" s="377">
        <v>1254000</v>
      </c>
    </row>
    <row r="469" spans="1:7" s="370" customFormat="1" ht="15.6" customHeight="1" x14ac:dyDescent="0.25">
      <c r="A469" s="373"/>
      <c r="B469" s="373"/>
      <c r="C469" s="374"/>
      <c r="D469" s="375"/>
      <c r="E469" s="376"/>
      <c r="F469" s="376">
        <v>6603</v>
      </c>
      <c r="G469" s="377">
        <v>255346</v>
      </c>
    </row>
    <row r="470" spans="1:7" s="370" customFormat="1" ht="15.6" customHeight="1" x14ac:dyDescent="0.25">
      <c r="A470" s="373"/>
      <c r="B470" s="373"/>
      <c r="C470" s="374"/>
      <c r="D470" s="375"/>
      <c r="E470" s="376"/>
      <c r="F470" s="376">
        <v>6605</v>
      </c>
      <c r="G470" s="377">
        <v>11722000</v>
      </c>
    </row>
    <row r="471" spans="1:7" s="370" customFormat="1" ht="15.6" customHeight="1" x14ac:dyDescent="0.25">
      <c r="A471" s="373"/>
      <c r="B471" s="373"/>
      <c r="C471" s="374"/>
      <c r="D471" s="375"/>
      <c r="E471" s="376"/>
      <c r="F471" s="376">
        <v>6606</v>
      </c>
      <c r="G471" s="377">
        <v>704000</v>
      </c>
    </row>
    <row r="472" spans="1:7" s="370" customFormat="1" ht="15.6" customHeight="1" x14ac:dyDescent="0.25">
      <c r="A472" s="373"/>
      <c r="B472" s="373"/>
      <c r="C472" s="374"/>
      <c r="D472" s="375"/>
      <c r="E472" s="376"/>
      <c r="F472" s="376">
        <v>6608</v>
      </c>
      <c r="G472" s="377">
        <v>3152700</v>
      </c>
    </row>
    <row r="473" spans="1:7" s="370" customFormat="1" ht="15.6" customHeight="1" x14ac:dyDescent="0.25">
      <c r="A473" s="373"/>
      <c r="B473" s="373"/>
      <c r="C473" s="374"/>
      <c r="D473" s="375"/>
      <c r="E473" s="376"/>
      <c r="F473" s="376">
        <v>6649</v>
      </c>
      <c r="G473" s="377">
        <v>8826000</v>
      </c>
    </row>
    <row r="474" spans="1:7" s="370" customFormat="1" ht="15.6" customHeight="1" x14ac:dyDescent="0.25">
      <c r="A474" s="373"/>
      <c r="B474" s="373"/>
      <c r="C474" s="374"/>
      <c r="D474" s="375"/>
      <c r="E474" s="376">
        <v>6650</v>
      </c>
      <c r="F474" s="376">
        <v>6651</v>
      </c>
      <c r="G474" s="377">
        <v>12860000</v>
      </c>
    </row>
    <row r="475" spans="1:7" s="370" customFormat="1" ht="15.6" customHeight="1" x14ac:dyDescent="0.25">
      <c r="A475" s="373"/>
      <c r="B475" s="373"/>
      <c r="C475" s="374"/>
      <c r="D475" s="375"/>
      <c r="E475" s="376"/>
      <c r="F475" s="376">
        <v>6653</v>
      </c>
      <c r="G475" s="377">
        <v>26850000</v>
      </c>
    </row>
    <row r="476" spans="1:7" s="370" customFormat="1" ht="15.6" customHeight="1" x14ac:dyDescent="0.25">
      <c r="A476" s="373"/>
      <c r="B476" s="373"/>
      <c r="C476" s="374"/>
      <c r="D476" s="375"/>
      <c r="E476" s="376"/>
      <c r="F476" s="376">
        <v>6654</v>
      </c>
      <c r="G476" s="377">
        <v>40900000</v>
      </c>
    </row>
    <row r="477" spans="1:7" s="370" customFormat="1" ht="15.6" customHeight="1" x14ac:dyDescent="0.25">
      <c r="A477" s="373"/>
      <c r="B477" s="373"/>
      <c r="C477" s="374"/>
      <c r="D477" s="375"/>
      <c r="E477" s="376"/>
      <c r="F477" s="376">
        <v>6655</v>
      </c>
      <c r="G477" s="377">
        <v>10000000</v>
      </c>
    </row>
    <row r="478" spans="1:7" s="370" customFormat="1" ht="15.6" customHeight="1" x14ac:dyDescent="0.25">
      <c r="A478" s="373"/>
      <c r="B478" s="373"/>
      <c r="C478" s="374"/>
      <c r="D478" s="375"/>
      <c r="E478" s="376"/>
      <c r="F478" s="376">
        <v>6658</v>
      </c>
      <c r="G478" s="377">
        <v>49025000</v>
      </c>
    </row>
    <row r="479" spans="1:7" s="370" customFormat="1" ht="15.6" customHeight="1" x14ac:dyDescent="0.25">
      <c r="A479" s="373"/>
      <c r="B479" s="373"/>
      <c r="C479" s="374"/>
      <c r="D479" s="375"/>
      <c r="E479" s="376"/>
      <c r="F479" s="376">
        <v>6699</v>
      </c>
      <c r="G479" s="377">
        <v>322085000</v>
      </c>
    </row>
    <row r="480" spans="1:7" s="370" customFormat="1" ht="15.6" customHeight="1" x14ac:dyDescent="0.25">
      <c r="A480" s="373"/>
      <c r="B480" s="373"/>
      <c r="C480" s="374"/>
      <c r="D480" s="375"/>
      <c r="E480" s="376">
        <v>6700</v>
      </c>
      <c r="F480" s="376">
        <v>6701</v>
      </c>
      <c r="G480" s="377">
        <v>36033000</v>
      </c>
    </row>
    <row r="481" spans="1:7" s="370" customFormat="1" ht="15.6" customHeight="1" x14ac:dyDescent="0.25">
      <c r="A481" s="373"/>
      <c r="B481" s="373"/>
      <c r="C481" s="374"/>
      <c r="D481" s="375"/>
      <c r="E481" s="376"/>
      <c r="F481" s="376">
        <v>6702</v>
      </c>
      <c r="G481" s="377">
        <v>119520000</v>
      </c>
    </row>
    <row r="482" spans="1:7" s="370" customFormat="1" ht="15.6" customHeight="1" x14ac:dyDescent="0.25">
      <c r="A482" s="373"/>
      <c r="B482" s="373"/>
      <c r="C482" s="374"/>
      <c r="D482" s="375"/>
      <c r="E482" s="376"/>
      <c r="F482" s="376">
        <v>6703</v>
      </c>
      <c r="G482" s="377">
        <v>30745000</v>
      </c>
    </row>
    <row r="483" spans="1:7" s="370" customFormat="1" ht="15.6" customHeight="1" x14ac:dyDescent="0.25">
      <c r="A483" s="373"/>
      <c r="B483" s="373"/>
      <c r="C483" s="374"/>
      <c r="D483" s="375"/>
      <c r="E483" s="376">
        <v>6900</v>
      </c>
      <c r="F483" s="376">
        <v>6912</v>
      </c>
      <c r="G483" s="377">
        <v>43000000</v>
      </c>
    </row>
    <row r="484" spans="1:7" s="370" customFormat="1" ht="15.6" customHeight="1" x14ac:dyDescent="0.25">
      <c r="A484" s="373"/>
      <c r="B484" s="373"/>
      <c r="C484" s="374"/>
      <c r="D484" s="375"/>
      <c r="E484" s="376"/>
      <c r="F484" s="376">
        <v>6913</v>
      </c>
      <c r="G484" s="377">
        <v>10300000</v>
      </c>
    </row>
    <row r="485" spans="1:7" s="370" customFormat="1" ht="15.6" customHeight="1" x14ac:dyDescent="0.25">
      <c r="A485" s="373"/>
      <c r="B485" s="373"/>
      <c r="C485" s="374"/>
      <c r="D485" s="375"/>
      <c r="E485" s="376">
        <v>7000</v>
      </c>
      <c r="F485" s="376">
        <v>7001</v>
      </c>
      <c r="G485" s="377">
        <v>30864670</v>
      </c>
    </row>
    <row r="486" spans="1:7" s="370" customFormat="1" ht="15.6" customHeight="1" x14ac:dyDescent="0.25">
      <c r="A486" s="373"/>
      <c r="B486" s="373"/>
      <c r="C486" s="374"/>
      <c r="D486" s="375"/>
      <c r="E486" s="376"/>
      <c r="F486" s="376">
        <v>7049</v>
      </c>
      <c r="G486" s="377">
        <v>305790000</v>
      </c>
    </row>
    <row r="487" spans="1:7" s="370" customFormat="1" ht="15.6" customHeight="1" x14ac:dyDescent="0.25">
      <c r="A487" s="373"/>
      <c r="B487" s="373"/>
      <c r="C487" s="374"/>
      <c r="D487" s="375"/>
      <c r="E487" s="376">
        <v>7050</v>
      </c>
      <c r="F487" s="376">
        <v>7053</v>
      </c>
      <c r="G487" s="377">
        <v>26000000</v>
      </c>
    </row>
    <row r="488" spans="1:7" s="370" customFormat="1" ht="15.6" customHeight="1" x14ac:dyDescent="0.25">
      <c r="A488" s="373"/>
      <c r="B488" s="373"/>
      <c r="C488" s="374"/>
      <c r="D488" s="375"/>
      <c r="E488" s="376">
        <v>7450</v>
      </c>
      <c r="F488" s="376">
        <v>7454</v>
      </c>
      <c r="G488" s="377">
        <v>1030000000</v>
      </c>
    </row>
    <row r="489" spans="1:7" s="370" customFormat="1" ht="15.6" customHeight="1" x14ac:dyDescent="0.25">
      <c r="A489" s="373"/>
      <c r="B489" s="373"/>
      <c r="C489" s="374"/>
      <c r="D489" s="375"/>
      <c r="E489" s="376"/>
      <c r="F489" s="376">
        <v>7499</v>
      </c>
      <c r="G489" s="377">
        <v>57000000</v>
      </c>
    </row>
    <row r="490" spans="1:7" s="370" customFormat="1" ht="15.6" customHeight="1" x14ac:dyDescent="0.25">
      <c r="A490" s="373"/>
      <c r="B490" s="373"/>
      <c r="C490" s="374"/>
      <c r="D490" s="375"/>
      <c r="E490" s="376">
        <v>7750</v>
      </c>
      <c r="F490" s="376">
        <v>7756</v>
      </c>
      <c r="G490" s="377">
        <v>522500</v>
      </c>
    </row>
    <row r="491" spans="1:7" s="370" customFormat="1" ht="15.6" customHeight="1" x14ac:dyDescent="0.25">
      <c r="A491" s="373"/>
      <c r="B491" s="373"/>
      <c r="C491" s="374"/>
      <c r="D491" s="375"/>
      <c r="E491" s="376"/>
      <c r="F491" s="376">
        <v>7799</v>
      </c>
      <c r="G491" s="377">
        <v>20160000</v>
      </c>
    </row>
    <row r="492" spans="1:7" s="370" customFormat="1" ht="15.6" customHeight="1" x14ac:dyDescent="0.25">
      <c r="A492" s="373"/>
      <c r="B492" s="373"/>
      <c r="C492" s="374"/>
      <c r="D492" s="375"/>
      <c r="E492" s="376">
        <v>7850</v>
      </c>
      <c r="F492" s="376">
        <v>7854</v>
      </c>
      <c r="G492" s="377">
        <v>15270000</v>
      </c>
    </row>
    <row r="493" spans="1:7" s="370" customFormat="1" ht="15.6" customHeight="1" x14ac:dyDescent="0.25">
      <c r="A493" s="373"/>
      <c r="B493" s="373"/>
      <c r="C493" s="374"/>
      <c r="D493" s="375"/>
      <c r="E493" s="376"/>
      <c r="F493" s="376">
        <v>7899</v>
      </c>
      <c r="G493" s="377">
        <v>4100000</v>
      </c>
    </row>
    <row r="494" spans="1:7" s="370" customFormat="1" ht="15.6" customHeight="1" x14ac:dyDescent="0.25">
      <c r="A494" s="373"/>
      <c r="B494" s="373"/>
      <c r="C494" s="374"/>
      <c r="D494" s="375"/>
      <c r="E494" s="376">
        <v>8000</v>
      </c>
      <c r="F494" s="376">
        <v>8006</v>
      </c>
      <c r="G494" s="377">
        <v>6796044310</v>
      </c>
    </row>
    <row r="495" spans="1:7" s="370" customFormat="1" ht="15.6" customHeight="1" x14ac:dyDescent="0.25">
      <c r="A495" s="373"/>
      <c r="B495" s="373"/>
      <c r="C495" s="374"/>
      <c r="D495" s="375"/>
      <c r="E495" s="376"/>
      <c r="F495" s="376">
        <v>8049</v>
      </c>
      <c r="G495" s="377">
        <v>21235500</v>
      </c>
    </row>
    <row r="496" spans="1:7" s="370" customFormat="1" ht="15.6" customHeight="1" x14ac:dyDescent="0.25">
      <c r="A496" s="373"/>
      <c r="B496" s="373"/>
      <c r="C496" s="374"/>
      <c r="D496" s="375">
        <v>362</v>
      </c>
      <c r="E496" s="376">
        <v>6100</v>
      </c>
      <c r="F496" s="376">
        <v>6149</v>
      </c>
      <c r="G496" s="377">
        <v>513864000</v>
      </c>
    </row>
    <row r="497" spans="1:7" s="370" customFormat="1" ht="15.6" customHeight="1" x14ac:dyDescent="0.25">
      <c r="A497" s="373"/>
      <c r="B497" s="373"/>
      <c r="C497" s="374"/>
      <c r="D497" s="375"/>
      <c r="E497" s="376">
        <v>6550</v>
      </c>
      <c r="F497" s="376">
        <v>6551</v>
      </c>
      <c r="G497" s="377">
        <v>10760000</v>
      </c>
    </row>
    <row r="498" spans="1:7" s="370" customFormat="1" ht="15.6" customHeight="1" x14ac:dyDescent="0.25">
      <c r="A498" s="373"/>
      <c r="B498" s="373"/>
      <c r="C498" s="374"/>
      <c r="D498" s="375"/>
      <c r="E498" s="376"/>
      <c r="F498" s="376">
        <v>6552</v>
      </c>
      <c r="G498" s="377">
        <v>1650000</v>
      </c>
    </row>
    <row r="499" spans="1:7" s="370" customFormat="1" ht="15.6" customHeight="1" x14ac:dyDescent="0.25">
      <c r="A499" s="373"/>
      <c r="B499" s="373"/>
      <c r="C499" s="374"/>
      <c r="D499" s="375"/>
      <c r="E499" s="376"/>
      <c r="F499" s="376">
        <v>6599</v>
      </c>
      <c r="G499" s="377">
        <v>7140000</v>
      </c>
    </row>
    <row r="500" spans="1:7" s="370" customFormat="1" ht="15.6" customHeight="1" x14ac:dyDescent="0.25">
      <c r="A500" s="373"/>
      <c r="B500" s="373"/>
      <c r="C500" s="374"/>
      <c r="D500" s="375"/>
      <c r="E500" s="376">
        <v>6600</v>
      </c>
      <c r="F500" s="376">
        <v>6603</v>
      </c>
      <c r="G500" s="377">
        <v>12000</v>
      </c>
    </row>
    <row r="501" spans="1:7" s="370" customFormat="1" ht="15.6" customHeight="1" x14ac:dyDescent="0.25">
      <c r="A501" s="373"/>
      <c r="B501" s="373"/>
      <c r="C501" s="374"/>
      <c r="D501" s="375"/>
      <c r="E501" s="376"/>
      <c r="F501" s="376">
        <v>6605</v>
      </c>
      <c r="G501" s="377">
        <v>4857000</v>
      </c>
    </row>
    <row r="502" spans="1:7" s="370" customFormat="1" ht="15.6" customHeight="1" x14ac:dyDescent="0.25">
      <c r="A502" s="373"/>
      <c r="B502" s="373"/>
      <c r="C502" s="374"/>
      <c r="D502" s="375"/>
      <c r="E502" s="376">
        <v>6650</v>
      </c>
      <c r="F502" s="376">
        <v>6651</v>
      </c>
      <c r="G502" s="377">
        <v>2120000</v>
      </c>
    </row>
    <row r="503" spans="1:7" s="370" customFormat="1" ht="15.6" customHeight="1" x14ac:dyDescent="0.25">
      <c r="A503" s="373"/>
      <c r="B503" s="373"/>
      <c r="C503" s="374"/>
      <c r="D503" s="375"/>
      <c r="E503" s="376"/>
      <c r="F503" s="376">
        <v>6653</v>
      </c>
      <c r="G503" s="377">
        <v>1930000</v>
      </c>
    </row>
    <row r="504" spans="1:7" s="370" customFormat="1" ht="15.6" customHeight="1" x14ac:dyDescent="0.25">
      <c r="A504" s="373"/>
      <c r="B504" s="373"/>
      <c r="C504" s="374"/>
      <c r="D504" s="375"/>
      <c r="E504" s="376"/>
      <c r="F504" s="376">
        <v>6654</v>
      </c>
      <c r="G504" s="377">
        <v>4550000</v>
      </c>
    </row>
    <row r="505" spans="1:7" s="370" customFormat="1" ht="15.6" customHeight="1" x14ac:dyDescent="0.25">
      <c r="A505" s="373"/>
      <c r="B505" s="373"/>
      <c r="C505" s="374"/>
      <c r="D505" s="375"/>
      <c r="E505" s="376"/>
      <c r="F505" s="376">
        <v>6658</v>
      </c>
      <c r="G505" s="377">
        <v>9450000</v>
      </c>
    </row>
    <row r="506" spans="1:7" s="370" customFormat="1" ht="15.6" customHeight="1" x14ac:dyDescent="0.25">
      <c r="A506" s="373"/>
      <c r="B506" s="373"/>
      <c r="C506" s="374"/>
      <c r="D506" s="375"/>
      <c r="E506" s="376"/>
      <c r="F506" s="376">
        <v>6699</v>
      </c>
      <c r="G506" s="377">
        <v>6250000</v>
      </c>
    </row>
    <row r="507" spans="1:7" s="370" customFormat="1" ht="15.6" customHeight="1" x14ac:dyDescent="0.25">
      <c r="A507" s="373"/>
      <c r="B507" s="373"/>
      <c r="C507" s="374"/>
      <c r="D507" s="375"/>
      <c r="E507" s="376">
        <v>6700</v>
      </c>
      <c r="F507" s="376">
        <v>6701</v>
      </c>
      <c r="G507" s="377">
        <v>13562000</v>
      </c>
    </row>
    <row r="508" spans="1:7" s="370" customFormat="1" ht="15.6" customHeight="1" x14ac:dyDescent="0.25">
      <c r="A508" s="373"/>
      <c r="B508" s="373"/>
      <c r="C508" s="374"/>
      <c r="D508" s="375"/>
      <c r="E508" s="376"/>
      <c r="F508" s="376">
        <v>6702</v>
      </c>
      <c r="G508" s="377">
        <v>32320000</v>
      </c>
    </row>
    <row r="509" spans="1:7" s="370" customFormat="1" ht="15.6" customHeight="1" x14ac:dyDescent="0.25">
      <c r="A509" s="373"/>
      <c r="B509" s="373"/>
      <c r="C509" s="374"/>
      <c r="D509" s="375"/>
      <c r="E509" s="376"/>
      <c r="F509" s="376">
        <v>6703</v>
      </c>
      <c r="G509" s="377">
        <v>16550000</v>
      </c>
    </row>
    <row r="510" spans="1:7" s="370" customFormat="1" ht="15.6" customHeight="1" x14ac:dyDescent="0.25">
      <c r="A510" s="373"/>
      <c r="B510" s="373"/>
      <c r="C510" s="374"/>
      <c r="D510" s="375"/>
      <c r="E510" s="376">
        <v>6900</v>
      </c>
      <c r="F510" s="376">
        <v>6912</v>
      </c>
      <c r="G510" s="377">
        <v>5800000</v>
      </c>
    </row>
    <row r="511" spans="1:7" s="370" customFormat="1" ht="15.6" customHeight="1" x14ac:dyDescent="0.25">
      <c r="A511" s="373"/>
      <c r="B511" s="373"/>
      <c r="C511" s="374"/>
      <c r="D511" s="375"/>
      <c r="E511" s="376">
        <v>7000</v>
      </c>
      <c r="F511" s="376">
        <v>7001</v>
      </c>
      <c r="G511" s="377">
        <v>3130000</v>
      </c>
    </row>
    <row r="512" spans="1:7" s="370" customFormat="1" ht="15.6" customHeight="1" x14ac:dyDescent="0.25">
      <c r="A512" s="373"/>
      <c r="B512" s="373"/>
      <c r="C512" s="374"/>
      <c r="D512" s="375"/>
      <c r="E512" s="376">
        <v>7750</v>
      </c>
      <c r="F512" s="376">
        <v>7756</v>
      </c>
      <c r="G512" s="377">
        <v>401500</v>
      </c>
    </row>
    <row r="513" spans="1:7" s="370" customFormat="1" ht="15.6" customHeight="1" x14ac:dyDescent="0.25">
      <c r="A513" s="373"/>
      <c r="B513" s="373"/>
      <c r="C513" s="374">
        <v>370</v>
      </c>
      <c r="D513" s="375">
        <v>371</v>
      </c>
      <c r="E513" s="376">
        <v>7150</v>
      </c>
      <c r="F513" s="376">
        <v>7162</v>
      </c>
      <c r="G513" s="377">
        <v>34800000</v>
      </c>
    </row>
    <row r="514" spans="1:7" s="370" customFormat="1" ht="15.6" customHeight="1" x14ac:dyDescent="0.25">
      <c r="A514" s="373"/>
      <c r="B514" s="373"/>
      <c r="C514" s="374"/>
      <c r="D514" s="375">
        <v>374</v>
      </c>
      <c r="E514" s="376">
        <v>7150</v>
      </c>
      <c r="F514" s="376">
        <v>7152</v>
      </c>
      <c r="G514" s="377">
        <v>23400000</v>
      </c>
    </row>
    <row r="515" spans="1:7" s="370" customFormat="1" ht="15.6" customHeight="1" x14ac:dyDescent="0.25">
      <c r="A515" s="373"/>
      <c r="B515" s="373"/>
      <c r="C515" s="374"/>
      <c r="D515" s="375"/>
      <c r="E515" s="376">
        <v>7250</v>
      </c>
      <c r="F515" s="376">
        <v>7251</v>
      </c>
      <c r="G515" s="377">
        <v>26746200</v>
      </c>
    </row>
    <row r="516" spans="1:7" s="370" customFormat="1" ht="15.6" customHeight="1" x14ac:dyDescent="0.25">
      <c r="A516" s="373"/>
      <c r="B516" s="373"/>
      <c r="C516" s="374"/>
      <c r="D516" s="375"/>
      <c r="E516" s="376"/>
      <c r="F516" s="376">
        <v>7257</v>
      </c>
      <c r="G516" s="377">
        <v>46800000</v>
      </c>
    </row>
    <row r="517" spans="1:7" s="370" customFormat="1" ht="15.6" customHeight="1" x14ac:dyDescent="0.25">
      <c r="A517" s="373"/>
      <c r="B517" s="373"/>
      <c r="C517" s="374"/>
      <c r="D517" s="375"/>
      <c r="E517" s="376"/>
      <c r="F517" s="376">
        <v>7262</v>
      </c>
      <c r="G517" s="377">
        <v>1239000000</v>
      </c>
    </row>
    <row r="518" spans="1:7" s="370" customFormat="1" ht="15.6" customHeight="1" x14ac:dyDescent="0.25">
      <c r="A518" s="373"/>
      <c r="B518" s="373"/>
      <c r="C518" s="374"/>
      <c r="D518" s="375">
        <v>398</v>
      </c>
      <c r="E518" s="376">
        <v>6100</v>
      </c>
      <c r="F518" s="376">
        <v>6149</v>
      </c>
      <c r="G518" s="377">
        <v>53820000</v>
      </c>
    </row>
    <row r="519" spans="1:7" s="370" customFormat="1" ht="15.6" customHeight="1" x14ac:dyDescent="0.25">
      <c r="A519" s="373"/>
      <c r="B519" s="373"/>
      <c r="C519" s="374"/>
      <c r="D519" s="375"/>
      <c r="E519" s="376">
        <v>6200</v>
      </c>
      <c r="F519" s="376">
        <v>6249</v>
      </c>
      <c r="G519" s="377">
        <v>30000000</v>
      </c>
    </row>
    <row r="520" spans="1:7" s="370" customFormat="1" ht="15.6" customHeight="1" x14ac:dyDescent="0.25">
      <c r="A520" s="373"/>
      <c r="B520" s="373"/>
      <c r="C520" s="374"/>
      <c r="D520" s="375"/>
      <c r="E520" s="376">
        <v>6400</v>
      </c>
      <c r="F520" s="376">
        <v>6449</v>
      </c>
      <c r="G520" s="377">
        <v>1650000</v>
      </c>
    </row>
    <row r="521" spans="1:7" s="370" customFormat="1" ht="15.6" customHeight="1" x14ac:dyDescent="0.25">
      <c r="A521" s="373"/>
      <c r="B521" s="373"/>
      <c r="C521" s="374"/>
      <c r="D521" s="375"/>
      <c r="E521" s="376">
        <v>6500</v>
      </c>
      <c r="F521" s="376">
        <v>6501</v>
      </c>
      <c r="G521" s="377">
        <v>5194616</v>
      </c>
    </row>
    <row r="522" spans="1:7" s="370" customFormat="1" ht="15.6" customHeight="1" x14ac:dyDescent="0.25">
      <c r="A522" s="373"/>
      <c r="B522" s="373"/>
      <c r="C522" s="374"/>
      <c r="D522" s="375"/>
      <c r="E522" s="376"/>
      <c r="F522" s="376">
        <v>6502</v>
      </c>
      <c r="G522" s="377">
        <v>10151440</v>
      </c>
    </row>
    <row r="523" spans="1:7" s="370" customFormat="1" ht="15.6" customHeight="1" x14ac:dyDescent="0.25">
      <c r="A523" s="373"/>
      <c r="B523" s="373"/>
      <c r="C523" s="374"/>
      <c r="D523" s="375"/>
      <c r="E523" s="376">
        <v>6550</v>
      </c>
      <c r="F523" s="376">
        <v>6551</v>
      </c>
      <c r="G523" s="377">
        <v>17995000</v>
      </c>
    </row>
    <row r="524" spans="1:7" s="370" customFormat="1" ht="15.6" customHeight="1" x14ac:dyDescent="0.25">
      <c r="A524" s="373"/>
      <c r="B524" s="373"/>
      <c r="C524" s="374"/>
      <c r="D524" s="375"/>
      <c r="E524" s="376">
        <v>6600</v>
      </c>
      <c r="F524" s="376">
        <v>6603</v>
      </c>
      <c r="G524" s="377">
        <v>645750</v>
      </c>
    </row>
    <row r="525" spans="1:7" s="370" customFormat="1" ht="15.6" customHeight="1" x14ac:dyDescent="0.25">
      <c r="A525" s="373"/>
      <c r="B525" s="373"/>
      <c r="C525" s="374"/>
      <c r="D525" s="375"/>
      <c r="E525" s="376"/>
      <c r="F525" s="376">
        <v>6605</v>
      </c>
      <c r="G525" s="377">
        <v>2248000</v>
      </c>
    </row>
    <row r="526" spans="1:7" s="370" customFormat="1" ht="15.6" customHeight="1" x14ac:dyDescent="0.25">
      <c r="A526" s="373"/>
      <c r="B526" s="373"/>
      <c r="C526" s="374"/>
      <c r="D526" s="375"/>
      <c r="E526" s="376">
        <v>6650</v>
      </c>
      <c r="F526" s="376">
        <v>6651</v>
      </c>
      <c r="G526" s="377">
        <v>2744800</v>
      </c>
    </row>
    <row r="527" spans="1:7" s="370" customFormat="1" ht="15.6" customHeight="1" x14ac:dyDescent="0.25">
      <c r="A527" s="373"/>
      <c r="B527" s="373"/>
      <c r="C527" s="374"/>
      <c r="D527" s="375"/>
      <c r="E527" s="376"/>
      <c r="F527" s="376">
        <v>6699</v>
      </c>
      <c r="G527" s="377">
        <v>270000</v>
      </c>
    </row>
    <row r="528" spans="1:7" s="370" customFormat="1" ht="15.6" customHeight="1" x14ac:dyDescent="0.25">
      <c r="A528" s="373"/>
      <c r="B528" s="373"/>
      <c r="C528" s="374"/>
      <c r="D528" s="375"/>
      <c r="E528" s="376">
        <v>6750</v>
      </c>
      <c r="F528" s="376">
        <v>6757</v>
      </c>
      <c r="G528" s="377">
        <v>21000000</v>
      </c>
    </row>
    <row r="529" spans="1:7" s="370" customFormat="1" ht="15.6" customHeight="1" x14ac:dyDescent="0.25">
      <c r="A529" s="373"/>
      <c r="B529" s="373"/>
      <c r="C529" s="374"/>
      <c r="D529" s="375"/>
      <c r="E529" s="376">
        <v>7000</v>
      </c>
      <c r="F529" s="376">
        <v>7001</v>
      </c>
      <c r="G529" s="377">
        <v>214886000</v>
      </c>
    </row>
    <row r="530" spans="1:7" s="370" customFormat="1" ht="15.6" customHeight="1" x14ac:dyDescent="0.25">
      <c r="A530" s="373"/>
      <c r="B530" s="373"/>
      <c r="C530" s="374"/>
      <c r="D530" s="375"/>
      <c r="E530" s="376"/>
      <c r="F530" s="376">
        <v>7049</v>
      </c>
      <c r="G530" s="377">
        <v>951497200</v>
      </c>
    </row>
    <row r="531" spans="1:7" s="370" customFormat="1" ht="15.6" customHeight="1" x14ac:dyDescent="0.25">
      <c r="A531" s="373"/>
      <c r="B531" s="373"/>
      <c r="C531" s="374"/>
      <c r="D531" s="375"/>
      <c r="E531" s="376">
        <v>7100</v>
      </c>
      <c r="F531" s="376">
        <v>7149</v>
      </c>
      <c r="G531" s="377">
        <v>172183506</v>
      </c>
    </row>
    <row r="532" spans="1:7" s="370" customFormat="1" ht="15.6" customHeight="1" x14ac:dyDescent="0.25">
      <c r="A532" s="373"/>
      <c r="B532" s="373"/>
      <c r="C532" s="374"/>
      <c r="D532" s="375"/>
      <c r="E532" s="376">
        <v>7150</v>
      </c>
      <c r="F532" s="376">
        <v>7151</v>
      </c>
      <c r="G532" s="377">
        <v>3240000</v>
      </c>
    </row>
    <row r="533" spans="1:7" s="370" customFormat="1" ht="15.6" customHeight="1" x14ac:dyDescent="0.25">
      <c r="A533" s="373"/>
      <c r="B533" s="373"/>
      <c r="C533" s="374"/>
      <c r="D533" s="375"/>
      <c r="E533" s="376"/>
      <c r="F533" s="376">
        <v>7157</v>
      </c>
      <c r="G533" s="377">
        <v>5180000</v>
      </c>
    </row>
    <row r="534" spans="1:7" s="370" customFormat="1" ht="15.6" customHeight="1" x14ac:dyDescent="0.25">
      <c r="A534" s="373"/>
      <c r="B534" s="373"/>
      <c r="C534" s="374"/>
      <c r="D534" s="375"/>
      <c r="E534" s="376"/>
      <c r="F534" s="376">
        <v>7162</v>
      </c>
      <c r="G534" s="377">
        <v>102800000</v>
      </c>
    </row>
    <row r="535" spans="1:7" s="370" customFormat="1" ht="15.6" customHeight="1" x14ac:dyDescent="0.25">
      <c r="A535" s="373"/>
      <c r="B535" s="373"/>
      <c r="C535" s="374"/>
      <c r="D535" s="375"/>
      <c r="E535" s="376">
        <v>7250</v>
      </c>
      <c r="F535" s="376">
        <v>7257</v>
      </c>
      <c r="G535" s="377">
        <v>260000000</v>
      </c>
    </row>
    <row r="536" spans="1:7" s="370" customFormat="1" ht="15.6" customHeight="1" x14ac:dyDescent="0.25">
      <c r="A536" s="373"/>
      <c r="B536" s="373"/>
      <c r="C536" s="374"/>
      <c r="D536" s="375"/>
      <c r="E536" s="376">
        <v>7450</v>
      </c>
      <c r="F536" s="376">
        <v>7451</v>
      </c>
      <c r="G536" s="377">
        <v>1806842700</v>
      </c>
    </row>
    <row r="537" spans="1:7" s="370" customFormat="1" ht="15.6" customHeight="1" x14ac:dyDescent="0.25">
      <c r="A537" s="373"/>
      <c r="B537" s="373"/>
      <c r="C537" s="374"/>
      <c r="D537" s="375"/>
      <c r="E537" s="376"/>
      <c r="F537" s="376">
        <v>7455</v>
      </c>
      <c r="G537" s="377">
        <v>16494530000</v>
      </c>
    </row>
    <row r="538" spans="1:7" s="370" customFormat="1" ht="15.6" customHeight="1" x14ac:dyDescent="0.25">
      <c r="A538" s="373"/>
      <c r="B538" s="373"/>
      <c r="C538" s="374"/>
      <c r="D538" s="375"/>
      <c r="E538" s="376"/>
      <c r="F538" s="376">
        <v>7456</v>
      </c>
      <c r="G538" s="377">
        <v>786618000</v>
      </c>
    </row>
    <row r="539" spans="1:7" s="370" customFormat="1" ht="15.6" customHeight="1" x14ac:dyDescent="0.25">
      <c r="A539" s="373"/>
      <c r="B539" s="373"/>
      <c r="C539" s="374"/>
      <c r="D539" s="375"/>
      <c r="E539" s="376"/>
      <c r="F539" s="376">
        <v>7499</v>
      </c>
      <c r="G539" s="377">
        <v>4241044001</v>
      </c>
    </row>
    <row r="540" spans="1:7" s="370" customFormat="1" ht="15.6" customHeight="1" x14ac:dyDescent="0.25">
      <c r="A540" s="373"/>
      <c r="B540" s="373"/>
      <c r="C540" s="374"/>
      <c r="D540" s="375"/>
      <c r="E540" s="376">
        <v>7750</v>
      </c>
      <c r="F540" s="376">
        <v>7756</v>
      </c>
      <c r="G540" s="377">
        <v>62133000</v>
      </c>
    </row>
    <row r="541" spans="1:7" s="370" customFormat="1" ht="15.6" customHeight="1" x14ac:dyDescent="0.25">
      <c r="A541" s="373"/>
      <c r="B541" s="373"/>
      <c r="C541" s="374">
        <v>430</v>
      </c>
      <c r="D541" s="375">
        <v>433</v>
      </c>
      <c r="E541" s="376">
        <v>7700</v>
      </c>
      <c r="F541" s="376">
        <v>7702</v>
      </c>
      <c r="G541" s="377">
        <v>244700500</v>
      </c>
    </row>
    <row r="542" spans="1:7" s="370" customFormat="1" ht="15.6" customHeight="1" x14ac:dyDescent="0.25">
      <c r="A542" s="373"/>
      <c r="B542" s="373"/>
      <c r="C542" s="374"/>
      <c r="D542" s="375"/>
      <c r="E542" s="376"/>
      <c r="F542" s="376">
        <v>7749</v>
      </c>
      <c r="G542" s="377">
        <v>296888000</v>
      </c>
    </row>
    <row r="543" spans="1:7" s="370" customFormat="1" ht="15.6" customHeight="1" x14ac:dyDescent="0.25">
      <c r="A543" s="373"/>
      <c r="B543" s="373"/>
      <c r="C543" s="374"/>
      <c r="D543" s="375">
        <v>434</v>
      </c>
      <c r="E543" s="376" t="s">
        <v>419</v>
      </c>
      <c r="F543" s="376" t="s">
        <v>420</v>
      </c>
      <c r="G543" s="377">
        <v>1400000000</v>
      </c>
    </row>
    <row r="544" spans="1:7" s="370" customFormat="1" ht="15.6" customHeight="1" x14ac:dyDescent="0.25">
      <c r="A544" s="373"/>
      <c r="B544" s="373"/>
      <c r="C544" s="374"/>
      <c r="D544" s="375"/>
      <c r="E544" s="376"/>
      <c r="F544" s="376" t="s">
        <v>421</v>
      </c>
      <c r="G544" s="377">
        <v>1539340325</v>
      </c>
    </row>
    <row r="545" spans="1:7" s="370" customFormat="1" ht="15.6" customHeight="1" x14ac:dyDescent="0.25">
      <c r="A545" s="373"/>
      <c r="B545" s="373"/>
      <c r="C545" s="374"/>
      <c r="D545" s="375"/>
      <c r="E545" s="376"/>
      <c r="F545" s="376" t="s">
        <v>422</v>
      </c>
      <c r="G545" s="377">
        <v>1227000</v>
      </c>
    </row>
    <row r="546" spans="1:7" s="370" customFormat="1" ht="15.6" customHeight="1" x14ac:dyDescent="0.25">
      <c r="A546" s="373"/>
      <c r="B546" s="373"/>
      <c r="C546" s="374"/>
      <c r="D546" s="375"/>
      <c r="E546" s="376"/>
      <c r="F546" s="376" t="s">
        <v>423</v>
      </c>
      <c r="G546" s="377">
        <v>528269750</v>
      </c>
    </row>
    <row r="547" spans="1:7" s="370" customFormat="1" ht="15.6" customHeight="1" x14ac:dyDescent="0.25">
      <c r="A547" s="373"/>
      <c r="B547" s="373"/>
      <c r="C547" s="374"/>
      <c r="D547" s="375"/>
      <c r="E547" s="376"/>
      <c r="F547" s="376" t="s">
        <v>424</v>
      </c>
      <c r="G547" s="377">
        <v>1901001540</v>
      </c>
    </row>
    <row r="548" spans="1:7" s="370" customFormat="1" ht="15.6" customHeight="1" x14ac:dyDescent="0.25">
      <c r="A548" s="373"/>
      <c r="B548" s="373"/>
      <c r="C548" s="374"/>
      <c r="D548" s="375"/>
      <c r="E548" s="376"/>
      <c r="F548" s="376" t="s">
        <v>425</v>
      </c>
      <c r="G548" s="377">
        <v>609748814</v>
      </c>
    </row>
    <row r="549" spans="1:7" x14ac:dyDescent="0.25">
      <c r="A549" s="364"/>
    </row>
    <row r="550" spans="1:7" ht="15.75" hidden="1" x14ac:dyDescent="0.25">
      <c r="A550" s="656" t="s">
        <v>364</v>
      </c>
      <c r="B550" s="656"/>
      <c r="C550" s="656" t="s">
        <v>365</v>
      </c>
      <c r="D550" s="656"/>
      <c r="E550" s="656"/>
      <c r="F550" s="657" t="s">
        <v>366</v>
      </c>
      <c r="G550" s="657"/>
    </row>
    <row r="551" spans="1:7" ht="30" hidden="1" customHeight="1" x14ac:dyDescent="0.25">
      <c r="A551" s="658" t="s">
        <v>386</v>
      </c>
      <c r="B551" s="658"/>
      <c r="C551" s="659" t="s">
        <v>361</v>
      </c>
      <c r="D551" s="659"/>
      <c r="E551" s="659"/>
      <c r="F551" s="660" t="s">
        <v>367</v>
      </c>
      <c r="G551" s="660"/>
    </row>
    <row r="552" spans="1:7" hidden="1" x14ac:dyDescent="0.25">
      <c r="A552" s="365"/>
      <c r="C552" s="651" t="s">
        <v>220</v>
      </c>
      <c r="D552" s="651"/>
      <c r="E552" s="651"/>
      <c r="F552" s="652" t="s">
        <v>363</v>
      </c>
      <c r="G552" s="652"/>
    </row>
    <row r="553" spans="1:7" hidden="1" x14ac:dyDescent="0.25">
      <c r="C553" s="366"/>
      <c r="D553" s="651"/>
      <c r="E553" s="651"/>
    </row>
    <row r="554" spans="1:7" hidden="1" x14ac:dyDescent="0.25">
      <c r="C554" s="366"/>
      <c r="E554" s="366"/>
    </row>
    <row r="555" spans="1:7" hidden="1" x14ac:dyDescent="0.25">
      <c r="B555" s="653"/>
      <c r="C555" s="653"/>
      <c r="E555" s="366"/>
    </row>
    <row r="556" spans="1:7" hidden="1" x14ac:dyDescent="0.25">
      <c r="B556" s="372"/>
      <c r="C556" s="366"/>
      <c r="E556" s="366"/>
    </row>
    <row r="557" spans="1:7" hidden="1" x14ac:dyDescent="0.25">
      <c r="A557" s="367"/>
      <c r="C557" s="366"/>
      <c r="E557" s="366"/>
    </row>
    <row r="558" spans="1:7" hidden="1" x14ac:dyDescent="0.25">
      <c r="C558" s="366"/>
      <c r="E558" s="366"/>
    </row>
    <row r="559" spans="1:7" ht="15.75" hidden="1" x14ac:dyDescent="0.25">
      <c r="A559" s="368"/>
      <c r="B559" s="368"/>
      <c r="C559" s="654" t="s">
        <v>362</v>
      </c>
      <c r="D559" s="654"/>
      <c r="E559" s="654"/>
      <c r="F559" s="655" t="s">
        <v>330</v>
      </c>
      <c r="G559" s="655"/>
    </row>
  </sheetData>
  <mergeCells count="19">
    <mergeCell ref="A7:D7"/>
    <mergeCell ref="A1:B1"/>
    <mergeCell ref="F1:G1"/>
    <mergeCell ref="A3:G3"/>
    <mergeCell ref="A4:G4"/>
    <mergeCell ref="F5:G5"/>
    <mergeCell ref="A2:B2"/>
    <mergeCell ref="A550:B550"/>
    <mergeCell ref="C550:E550"/>
    <mergeCell ref="F550:G550"/>
    <mergeCell ref="A551:B551"/>
    <mergeCell ref="C551:E551"/>
    <mergeCell ref="F551:G551"/>
    <mergeCell ref="C552:E552"/>
    <mergeCell ref="F552:G552"/>
    <mergeCell ref="D553:E553"/>
    <mergeCell ref="B555:C555"/>
    <mergeCell ref="C559:E559"/>
    <mergeCell ref="F559:G559"/>
  </mergeCells>
  <pageMargins left="0.70866141732283472" right="0.70866141732283472" top="0.74803149606299213" bottom="0.74803149606299213" header="0.31496062992125984" footer="0.31496062992125984"/>
  <pageSetup paperSize="9" scale="75"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4"/>
  <sheetViews>
    <sheetView workbookViewId="0">
      <selection activeCell="A2" sqref="A2:XFD2"/>
    </sheetView>
  </sheetViews>
  <sheetFormatPr defaultColWidth="10" defaultRowHeight="15.75" x14ac:dyDescent="0.25"/>
  <cols>
    <col min="1" max="1" width="24.85546875" style="401" customWidth="1"/>
    <col min="2" max="7" width="14.85546875" style="412" customWidth="1"/>
    <col min="8" max="8" width="19" style="402" customWidth="1"/>
    <col min="9" max="9" width="11.42578125" style="402" hidden="1" customWidth="1"/>
    <col min="10" max="10" width="10.42578125" style="402" hidden="1" customWidth="1"/>
    <col min="11" max="11" width="10.85546875" style="403" hidden="1" customWidth="1"/>
    <col min="12" max="16384" width="10" style="403"/>
  </cols>
  <sheetData>
    <row r="1" spans="1:11" ht="15.6" customHeight="1" x14ac:dyDescent="0.25">
      <c r="A1" s="600" t="s">
        <v>539</v>
      </c>
      <c r="B1" s="600"/>
      <c r="C1" s="600"/>
      <c r="D1" s="600"/>
      <c r="E1" s="600"/>
      <c r="F1" s="600"/>
      <c r="G1" s="600"/>
      <c r="H1" s="600"/>
    </row>
    <row r="2" spans="1:11" x14ac:dyDescent="0.25">
      <c r="A2" s="672" t="s">
        <v>441</v>
      </c>
      <c r="B2" s="672"/>
      <c r="C2" s="672"/>
      <c r="D2" s="672"/>
      <c r="E2" s="672"/>
      <c r="F2" s="672"/>
      <c r="G2" s="672"/>
      <c r="H2" s="672"/>
    </row>
    <row r="3" spans="1:11" ht="18" customHeight="1" x14ac:dyDescent="0.3">
      <c r="A3" s="670" t="str">
        <f>'59'!A4</f>
        <v>(Kèm theo Nghị quyết số 13/NQ-HĐND ngày 25 tháng 3 năm 2026 của HĐND  xã Quỳnh Nhai)</v>
      </c>
      <c r="B3" s="670"/>
      <c r="C3" s="670"/>
      <c r="D3" s="670"/>
      <c r="E3" s="670"/>
      <c r="F3" s="670"/>
      <c r="G3" s="670"/>
      <c r="H3" s="670"/>
      <c r="I3" s="404"/>
      <c r="J3" s="404"/>
    </row>
    <row r="4" spans="1:11" x14ac:dyDescent="0.25">
      <c r="H4" s="403"/>
    </row>
    <row r="5" spans="1:11" x14ac:dyDescent="0.25">
      <c r="H5" s="405" t="s">
        <v>173</v>
      </c>
    </row>
    <row r="7" spans="1:11" s="583" customFormat="1" ht="23.45" customHeight="1" x14ac:dyDescent="0.25">
      <c r="A7" s="274" t="s">
        <v>432</v>
      </c>
      <c r="B7" s="578" t="s">
        <v>394</v>
      </c>
      <c r="C7" s="578" t="s">
        <v>395</v>
      </c>
      <c r="D7" s="578" t="s">
        <v>563</v>
      </c>
      <c r="E7" s="578" t="s">
        <v>396</v>
      </c>
      <c r="F7" s="578" t="s">
        <v>397</v>
      </c>
      <c r="G7" s="578" t="s">
        <v>398</v>
      </c>
      <c r="H7" s="579" t="s">
        <v>433</v>
      </c>
      <c r="I7" s="580"/>
      <c r="J7" s="581"/>
      <c r="K7" s="582"/>
    </row>
    <row r="8" spans="1:11" s="587" customFormat="1" ht="21" customHeight="1" x14ac:dyDescent="0.25">
      <c r="A8" s="578" t="s">
        <v>216</v>
      </c>
      <c r="B8" s="584"/>
      <c r="C8" s="584"/>
      <c r="D8" s="584"/>
      <c r="E8" s="584"/>
      <c r="F8" s="584"/>
      <c r="G8" s="584"/>
      <c r="H8" s="594">
        <f>H9+H12+H34</f>
        <v>16215443586</v>
      </c>
      <c r="I8" s="585"/>
      <c r="J8" s="585"/>
      <c r="K8" s="586"/>
    </row>
    <row r="9" spans="1:11" s="587" customFormat="1" ht="30.6" customHeight="1" x14ac:dyDescent="0.25">
      <c r="A9" s="274" t="s">
        <v>276</v>
      </c>
      <c r="B9" s="584"/>
      <c r="C9" s="584"/>
      <c r="D9" s="584"/>
      <c r="E9" s="584"/>
      <c r="F9" s="584"/>
      <c r="G9" s="584"/>
      <c r="H9" s="588">
        <f>H10+H11</f>
        <v>334450000</v>
      </c>
      <c r="I9" s="589"/>
      <c r="J9" s="589"/>
      <c r="K9" s="590"/>
    </row>
    <row r="10" spans="1:11" s="587" customFormat="1" x14ac:dyDescent="0.25">
      <c r="A10" s="578"/>
      <c r="B10" s="584" t="s">
        <v>564</v>
      </c>
      <c r="C10" s="584" t="s">
        <v>569</v>
      </c>
      <c r="D10" s="591" t="s">
        <v>570</v>
      </c>
      <c r="E10" s="591" t="s">
        <v>568</v>
      </c>
      <c r="F10" s="584" t="s">
        <v>595</v>
      </c>
      <c r="G10" s="591" t="s">
        <v>565</v>
      </c>
      <c r="H10" s="592">
        <v>5400000</v>
      </c>
      <c r="I10" s="593"/>
      <c r="J10" s="593"/>
      <c r="K10" s="590"/>
    </row>
    <row r="11" spans="1:11" s="587" customFormat="1" x14ac:dyDescent="0.25">
      <c r="A11" s="578"/>
      <c r="B11" s="584" t="s">
        <v>564</v>
      </c>
      <c r="C11" s="584" t="s">
        <v>569</v>
      </c>
      <c r="D11" s="591" t="s">
        <v>571</v>
      </c>
      <c r="E11" s="591" t="s">
        <v>568</v>
      </c>
      <c r="F11" s="584" t="s">
        <v>596</v>
      </c>
      <c r="G11" s="591" t="s">
        <v>566</v>
      </c>
      <c r="H11" s="592">
        <v>329050000</v>
      </c>
      <c r="I11" s="593"/>
      <c r="J11" s="593"/>
      <c r="K11" s="590"/>
    </row>
    <row r="12" spans="1:11" s="587" customFormat="1" ht="25.5" x14ac:dyDescent="0.25">
      <c r="A12" s="274" t="s">
        <v>280</v>
      </c>
      <c r="B12" s="584"/>
      <c r="C12" s="584"/>
      <c r="D12" s="591"/>
      <c r="E12" s="591"/>
      <c r="F12" s="584"/>
      <c r="G12" s="591"/>
      <c r="H12" s="594">
        <f>SUM(H13:K33)</f>
        <v>14144595586</v>
      </c>
      <c r="I12" s="593"/>
      <c r="J12" s="593"/>
      <c r="K12" s="590"/>
    </row>
    <row r="13" spans="1:11" s="587" customFormat="1" x14ac:dyDescent="0.25">
      <c r="A13" s="578"/>
      <c r="B13" s="584" t="s">
        <v>564</v>
      </c>
      <c r="C13" s="584" t="s">
        <v>569</v>
      </c>
      <c r="D13" s="591" t="s">
        <v>571</v>
      </c>
      <c r="E13" s="591" t="s">
        <v>568</v>
      </c>
      <c r="F13" s="584" t="s">
        <v>596</v>
      </c>
      <c r="G13" s="591" t="s">
        <v>566</v>
      </c>
      <c r="H13" s="595">
        <v>66284000</v>
      </c>
      <c r="I13" s="593"/>
      <c r="J13" s="593"/>
      <c r="K13" s="590"/>
    </row>
    <row r="14" spans="1:11" s="587" customFormat="1" x14ac:dyDescent="0.25">
      <c r="A14" s="578"/>
      <c r="B14" s="584" t="s">
        <v>564</v>
      </c>
      <c r="C14" s="584" t="s">
        <v>569</v>
      </c>
      <c r="D14" s="591" t="s">
        <v>572</v>
      </c>
      <c r="E14" s="591" t="s">
        <v>568</v>
      </c>
      <c r="F14" s="584" t="s">
        <v>596</v>
      </c>
      <c r="G14" s="591" t="s">
        <v>566</v>
      </c>
      <c r="H14" s="595">
        <v>57871000</v>
      </c>
      <c r="I14" s="593"/>
      <c r="J14" s="593"/>
      <c r="K14" s="590"/>
    </row>
    <row r="15" spans="1:11" s="587" customFormat="1" x14ac:dyDescent="0.25">
      <c r="A15" s="578"/>
      <c r="B15" s="584" t="s">
        <v>564</v>
      </c>
      <c r="C15" s="584" t="s">
        <v>569</v>
      </c>
      <c r="D15" s="591" t="s">
        <v>571</v>
      </c>
      <c r="E15" s="591" t="s">
        <v>568</v>
      </c>
      <c r="F15" s="584" t="s">
        <v>597</v>
      </c>
      <c r="G15" s="591" t="s">
        <v>567</v>
      </c>
      <c r="H15" s="595">
        <v>2333716000</v>
      </c>
      <c r="I15" s="593"/>
      <c r="J15" s="593"/>
      <c r="K15" s="590"/>
    </row>
    <row r="16" spans="1:11" s="587" customFormat="1" x14ac:dyDescent="0.25">
      <c r="A16" s="578"/>
      <c r="B16" s="584" t="s">
        <v>564</v>
      </c>
      <c r="C16" s="584" t="s">
        <v>569</v>
      </c>
      <c r="D16" s="591" t="s">
        <v>572</v>
      </c>
      <c r="E16" s="591" t="s">
        <v>568</v>
      </c>
      <c r="F16" s="584" t="s">
        <v>597</v>
      </c>
      <c r="G16" s="591" t="s">
        <v>567</v>
      </c>
      <c r="H16" s="595">
        <v>1951359237</v>
      </c>
      <c r="I16" s="593"/>
      <c r="J16" s="593"/>
      <c r="K16" s="590"/>
    </row>
    <row r="17" spans="1:11" s="587" customFormat="1" x14ac:dyDescent="0.25">
      <c r="A17" s="578"/>
      <c r="B17" s="584" t="s">
        <v>564</v>
      </c>
      <c r="C17" s="584" t="s">
        <v>569</v>
      </c>
      <c r="D17" s="591" t="s">
        <v>572</v>
      </c>
      <c r="E17" s="591" t="s">
        <v>568</v>
      </c>
      <c r="F17" s="584" t="s">
        <v>597</v>
      </c>
      <c r="G17" s="591" t="s">
        <v>567</v>
      </c>
      <c r="H17" s="595">
        <v>5577235400</v>
      </c>
      <c r="I17" s="593"/>
      <c r="J17" s="593"/>
      <c r="K17" s="590"/>
    </row>
    <row r="18" spans="1:11" s="587" customFormat="1" x14ac:dyDescent="0.25">
      <c r="A18" s="578"/>
      <c r="B18" s="584" t="s">
        <v>564</v>
      </c>
      <c r="C18" s="584" t="s">
        <v>569</v>
      </c>
      <c r="D18" s="591" t="s">
        <v>576</v>
      </c>
      <c r="E18" s="591" t="s">
        <v>573</v>
      </c>
      <c r="F18" s="584" t="s">
        <v>598</v>
      </c>
      <c r="G18" s="591" t="s">
        <v>574</v>
      </c>
      <c r="H18" s="595">
        <v>84570000</v>
      </c>
      <c r="I18" s="593"/>
      <c r="J18" s="593"/>
      <c r="K18" s="590"/>
    </row>
    <row r="19" spans="1:11" s="587" customFormat="1" x14ac:dyDescent="0.25">
      <c r="A19" s="578"/>
      <c r="B19" s="584" t="s">
        <v>564</v>
      </c>
      <c r="C19" s="584" t="s">
        <v>569</v>
      </c>
      <c r="D19" s="591" t="s">
        <v>576</v>
      </c>
      <c r="E19" s="591" t="s">
        <v>573</v>
      </c>
      <c r="F19" s="584" t="s">
        <v>599</v>
      </c>
      <c r="G19" s="591" t="s">
        <v>575</v>
      </c>
      <c r="H19" s="595">
        <v>534765000</v>
      </c>
      <c r="I19" s="593"/>
      <c r="J19" s="593"/>
      <c r="K19" s="590"/>
    </row>
    <row r="20" spans="1:11" s="587" customFormat="1" x14ac:dyDescent="0.25">
      <c r="A20" s="578"/>
      <c r="B20" s="584" t="s">
        <v>564</v>
      </c>
      <c r="C20" s="584" t="s">
        <v>569</v>
      </c>
      <c r="D20" s="591" t="s">
        <v>579</v>
      </c>
      <c r="E20" s="591" t="s">
        <v>578</v>
      </c>
      <c r="F20" s="584" t="s">
        <v>600</v>
      </c>
      <c r="G20" s="591" t="s">
        <v>574</v>
      </c>
      <c r="H20" s="595">
        <v>32560000</v>
      </c>
      <c r="I20" s="593"/>
      <c r="J20" s="593"/>
      <c r="K20" s="590"/>
    </row>
    <row r="21" spans="1:11" s="587" customFormat="1" x14ac:dyDescent="0.25">
      <c r="A21" s="578"/>
      <c r="B21" s="584" t="s">
        <v>564</v>
      </c>
      <c r="C21" s="584" t="s">
        <v>569</v>
      </c>
      <c r="D21" s="591" t="s">
        <v>576</v>
      </c>
      <c r="E21" s="591" t="s">
        <v>578</v>
      </c>
      <c r="F21" s="584" t="s">
        <v>600</v>
      </c>
      <c r="G21" s="591" t="s">
        <v>574</v>
      </c>
      <c r="H21" s="595">
        <v>37466000</v>
      </c>
      <c r="I21" s="593"/>
      <c r="J21" s="593"/>
      <c r="K21" s="590"/>
    </row>
    <row r="22" spans="1:11" s="587" customFormat="1" x14ac:dyDescent="0.25">
      <c r="A22" s="578"/>
      <c r="B22" s="584" t="s">
        <v>564</v>
      </c>
      <c r="C22" s="584" t="s">
        <v>569</v>
      </c>
      <c r="D22" s="591" t="s">
        <v>579</v>
      </c>
      <c r="E22" s="591" t="s">
        <v>578</v>
      </c>
      <c r="F22" s="584" t="s">
        <v>599</v>
      </c>
      <c r="G22" s="591" t="s">
        <v>577</v>
      </c>
      <c r="H22" s="595">
        <v>52440000</v>
      </c>
      <c r="I22" s="593"/>
      <c r="J22" s="593"/>
      <c r="K22" s="590"/>
    </row>
    <row r="23" spans="1:11" s="587" customFormat="1" x14ac:dyDescent="0.25">
      <c r="A23" s="578"/>
      <c r="B23" s="584" t="s">
        <v>564</v>
      </c>
      <c r="C23" s="584" t="s">
        <v>569</v>
      </c>
      <c r="D23" s="591" t="s">
        <v>576</v>
      </c>
      <c r="E23" s="591" t="s">
        <v>578</v>
      </c>
      <c r="F23" s="584" t="s">
        <v>599</v>
      </c>
      <c r="G23" s="591" t="s">
        <v>577</v>
      </c>
      <c r="H23" s="595">
        <v>244519000</v>
      </c>
      <c r="I23" s="593"/>
      <c r="J23" s="593"/>
      <c r="K23" s="590"/>
    </row>
    <row r="24" spans="1:11" s="587" customFormat="1" x14ac:dyDescent="0.25">
      <c r="A24" s="578"/>
      <c r="B24" s="584" t="s">
        <v>564</v>
      </c>
      <c r="C24" s="584" t="s">
        <v>569</v>
      </c>
      <c r="D24" s="591" t="s">
        <v>576</v>
      </c>
      <c r="E24" s="591" t="s">
        <v>578</v>
      </c>
      <c r="F24" s="584" t="s">
        <v>599</v>
      </c>
      <c r="G24" s="591" t="s">
        <v>577</v>
      </c>
      <c r="H24" s="595">
        <v>381099000</v>
      </c>
      <c r="I24" s="593"/>
      <c r="J24" s="593"/>
      <c r="K24" s="590"/>
    </row>
    <row r="25" spans="1:11" s="587" customFormat="1" x14ac:dyDescent="0.25">
      <c r="A25" s="578"/>
      <c r="B25" s="584" t="s">
        <v>564</v>
      </c>
      <c r="C25" s="584" t="s">
        <v>569</v>
      </c>
      <c r="D25" s="591" t="s">
        <v>582</v>
      </c>
      <c r="E25" s="591" t="s">
        <v>581</v>
      </c>
      <c r="F25" s="584" t="s">
        <v>601</v>
      </c>
      <c r="G25" s="591" t="s">
        <v>580</v>
      </c>
      <c r="H25" s="595">
        <v>2654385949</v>
      </c>
      <c r="I25" s="593"/>
      <c r="J25" s="593"/>
      <c r="K25" s="590"/>
    </row>
    <row r="26" spans="1:11" s="587" customFormat="1" x14ac:dyDescent="0.25">
      <c r="A26" s="578"/>
      <c r="B26" s="584" t="s">
        <v>564</v>
      </c>
      <c r="C26" s="584" t="s">
        <v>594</v>
      </c>
      <c r="D26" s="591" t="s">
        <v>590</v>
      </c>
      <c r="E26" s="591" t="s">
        <v>589</v>
      </c>
      <c r="F26" s="584" t="s">
        <v>602</v>
      </c>
      <c r="G26" s="591" t="s">
        <v>583</v>
      </c>
      <c r="H26" s="595">
        <v>64910000</v>
      </c>
      <c r="I26" s="593"/>
      <c r="J26" s="593"/>
      <c r="K26" s="590"/>
    </row>
    <row r="27" spans="1:11" s="587" customFormat="1" x14ac:dyDescent="0.25">
      <c r="A27" s="578"/>
      <c r="B27" s="584" t="s">
        <v>564</v>
      </c>
      <c r="C27" s="584" t="s">
        <v>594</v>
      </c>
      <c r="D27" s="591" t="s">
        <v>590</v>
      </c>
      <c r="E27" s="591" t="s">
        <v>589</v>
      </c>
      <c r="F27" s="584" t="s">
        <v>602</v>
      </c>
      <c r="G27" s="591" t="s">
        <v>583</v>
      </c>
      <c r="H27" s="595">
        <v>10014000</v>
      </c>
      <c r="I27" s="593"/>
      <c r="J27" s="593"/>
      <c r="K27" s="590"/>
    </row>
    <row r="28" spans="1:11" s="587" customFormat="1" x14ac:dyDescent="0.25">
      <c r="A28" s="578"/>
      <c r="B28" s="584" t="s">
        <v>564</v>
      </c>
      <c r="C28" s="584" t="s">
        <v>594</v>
      </c>
      <c r="D28" s="591" t="s">
        <v>590</v>
      </c>
      <c r="E28" s="591" t="s">
        <v>589</v>
      </c>
      <c r="F28" s="584" t="s">
        <v>602</v>
      </c>
      <c r="G28" s="591" t="s">
        <v>584</v>
      </c>
      <c r="H28" s="595">
        <v>15090000</v>
      </c>
      <c r="I28" s="593"/>
      <c r="J28" s="593"/>
      <c r="K28" s="590"/>
    </row>
    <row r="29" spans="1:11" s="587" customFormat="1" x14ac:dyDescent="0.25">
      <c r="A29" s="578"/>
      <c r="B29" s="584" t="s">
        <v>564</v>
      </c>
      <c r="C29" s="584" t="s">
        <v>594</v>
      </c>
      <c r="D29" s="591" t="s">
        <v>590</v>
      </c>
      <c r="E29" s="591" t="s">
        <v>589</v>
      </c>
      <c r="F29" s="584" t="s">
        <v>602</v>
      </c>
      <c r="G29" s="591" t="s">
        <v>584</v>
      </c>
      <c r="H29" s="595">
        <v>17565000</v>
      </c>
      <c r="I29" s="593"/>
      <c r="J29" s="593"/>
      <c r="K29" s="590"/>
    </row>
    <row r="30" spans="1:11" s="587" customFormat="1" x14ac:dyDescent="0.25">
      <c r="A30" s="578"/>
      <c r="B30" s="584" t="s">
        <v>564</v>
      </c>
      <c r="C30" s="584" t="s">
        <v>594</v>
      </c>
      <c r="D30" s="591" t="s">
        <v>590</v>
      </c>
      <c r="E30" s="591" t="s">
        <v>589</v>
      </c>
      <c r="F30" s="584" t="s">
        <v>598</v>
      </c>
      <c r="G30" s="591" t="s">
        <v>585</v>
      </c>
      <c r="H30" s="595">
        <v>1696000</v>
      </c>
      <c r="I30" s="593"/>
      <c r="J30" s="593"/>
      <c r="K30" s="590"/>
    </row>
    <row r="31" spans="1:11" s="587" customFormat="1" x14ac:dyDescent="0.25">
      <c r="A31" s="578"/>
      <c r="B31" s="584" t="s">
        <v>564</v>
      </c>
      <c r="C31" s="584" t="s">
        <v>594</v>
      </c>
      <c r="D31" s="591" t="s">
        <v>590</v>
      </c>
      <c r="E31" s="591" t="s">
        <v>589</v>
      </c>
      <c r="F31" s="584" t="s">
        <v>598</v>
      </c>
      <c r="G31" s="591" t="s">
        <v>586</v>
      </c>
      <c r="H31" s="595">
        <v>5600000</v>
      </c>
      <c r="I31" s="593"/>
      <c r="J31" s="593"/>
      <c r="K31" s="590"/>
    </row>
    <row r="32" spans="1:11" s="587" customFormat="1" x14ac:dyDescent="0.25">
      <c r="A32" s="578"/>
      <c r="B32" s="584" t="s">
        <v>564</v>
      </c>
      <c r="C32" s="584" t="s">
        <v>594</v>
      </c>
      <c r="D32" s="591" t="s">
        <v>590</v>
      </c>
      <c r="E32" s="591" t="s">
        <v>589</v>
      </c>
      <c r="F32" s="584" t="s">
        <v>598</v>
      </c>
      <c r="G32" s="591" t="s">
        <v>587</v>
      </c>
      <c r="H32" s="595">
        <v>1450000</v>
      </c>
      <c r="I32" s="593"/>
      <c r="J32" s="593"/>
      <c r="K32" s="590"/>
    </row>
    <row r="33" spans="1:14" s="587" customFormat="1" x14ac:dyDescent="0.25">
      <c r="A33" s="578"/>
      <c r="B33" s="584" t="s">
        <v>564</v>
      </c>
      <c r="C33" s="584" t="s">
        <v>594</v>
      </c>
      <c r="D33" s="591" t="s">
        <v>590</v>
      </c>
      <c r="E33" s="591" t="s">
        <v>589</v>
      </c>
      <c r="F33" s="584" t="s">
        <v>596</v>
      </c>
      <c r="G33" s="591" t="s">
        <v>588</v>
      </c>
      <c r="H33" s="595">
        <v>20000000</v>
      </c>
      <c r="I33" s="593"/>
      <c r="J33" s="593"/>
      <c r="K33" s="590"/>
    </row>
    <row r="34" spans="1:14" s="587" customFormat="1" ht="38.25" x14ac:dyDescent="0.25">
      <c r="A34" s="274" t="s">
        <v>279</v>
      </c>
      <c r="B34" s="584"/>
      <c r="C34" s="584"/>
      <c r="D34" s="584"/>
      <c r="E34" s="584"/>
      <c r="F34" s="584"/>
      <c r="G34" s="584"/>
      <c r="H34" s="594">
        <f>SUM(H35:H37)</f>
        <v>1736398000</v>
      </c>
      <c r="I34" s="593"/>
      <c r="J34" s="593"/>
      <c r="K34" s="590"/>
    </row>
    <row r="35" spans="1:14" s="587" customFormat="1" x14ac:dyDescent="0.25">
      <c r="A35" s="578"/>
      <c r="B35" s="584" t="s">
        <v>564</v>
      </c>
      <c r="C35" s="584" t="s">
        <v>569</v>
      </c>
      <c r="D35" s="591" t="s">
        <v>591</v>
      </c>
      <c r="E35" s="591" t="s">
        <v>573</v>
      </c>
      <c r="F35" s="584" t="s">
        <v>600</v>
      </c>
      <c r="G35" s="591" t="s">
        <v>574</v>
      </c>
      <c r="H35" s="595">
        <v>190412000</v>
      </c>
      <c r="I35" s="593"/>
      <c r="J35" s="593"/>
      <c r="K35" s="590"/>
    </row>
    <row r="36" spans="1:14" s="587" customFormat="1" x14ac:dyDescent="0.25">
      <c r="A36" s="578"/>
      <c r="B36" s="584" t="s">
        <v>564</v>
      </c>
      <c r="C36" s="584" t="s">
        <v>569</v>
      </c>
      <c r="D36" s="591" t="s">
        <v>591</v>
      </c>
      <c r="E36" s="591" t="s">
        <v>573</v>
      </c>
      <c r="F36" s="584" t="s">
        <v>599</v>
      </c>
      <c r="G36" s="591" t="s">
        <v>575</v>
      </c>
      <c r="H36" s="595">
        <v>1273386000</v>
      </c>
      <c r="I36" s="593"/>
      <c r="J36" s="593"/>
      <c r="K36" s="590"/>
    </row>
    <row r="37" spans="1:14" s="587" customFormat="1" x14ac:dyDescent="0.25">
      <c r="A37" s="578"/>
      <c r="B37" s="584" t="s">
        <v>564</v>
      </c>
      <c r="C37" s="584" t="s">
        <v>569</v>
      </c>
      <c r="D37" s="591" t="s">
        <v>592</v>
      </c>
      <c r="E37" s="591" t="s">
        <v>593</v>
      </c>
      <c r="F37" s="584" t="s">
        <v>597</v>
      </c>
      <c r="G37" s="591" t="s">
        <v>567</v>
      </c>
      <c r="H37" s="595">
        <v>272600000</v>
      </c>
      <c r="I37" s="593"/>
      <c r="J37" s="593"/>
      <c r="K37" s="590"/>
    </row>
    <row r="38" spans="1:14" s="587" customFormat="1" x14ac:dyDescent="0.25">
      <c r="A38" s="596"/>
      <c r="B38" s="597"/>
      <c r="C38" s="597"/>
      <c r="D38" s="597"/>
      <c r="E38" s="597"/>
      <c r="F38" s="597"/>
      <c r="G38" s="597"/>
      <c r="H38" s="598"/>
      <c r="I38" s="598"/>
      <c r="J38" s="598"/>
    </row>
    <row r="39" spans="1:14" hidden="1" x14ac:dyDescent="0.25"/>
    <row r="40" spans="1:14" s="407" customFormat="1" ht="19.5" hidden="1" x14ac:dyDescent="0.35">
      <c r="A40" s="576" t="s">
        <v>434</v>
      </c>
      <c r="B40" s="406"/>
      <c r="C40" s="406"/>
      <c r="D40" s="406"/>
      <c r="E40" s="406"/>
      <c r="F40" s="670" t="s">
        <v>435</v>
      </c>
      <c r="G40" s="670"/>
      <c r="H40" s="670"/>
      <c r="I40" s="406"/>
      <c r="J40" s="406"/>
      <c r="K40" s="406"/>
    </row>
    <row r="41" spans="1:14" s="410" customFormat="1" ht="18.75" hidden="1" x14ac:dyDescent="0.3">
      <c r="A41" s="408" t="s">
        <v>436</v>
      </c>
      <c r="B41" s="408"/>
      <c r="C41" s="408" t="s">
        <v>437</v>
      </c>
      <c r="D41" s="408"/>
      <c r="E41" s="408"/>
      <c r="F41" s="654" t="s">
        <v>438</v>
      </c>
      <c r="G41" s="654"/>
      <c r="H41" s="654"/>
      <c r="I41" s="408"/>
      <c r="J41" s="408"/>
      <c r="K41" s="409"/>
      <c r="L41" s="409"/>
      <c r="M41" s="409"/>
      <c r="N41" s="409"/>
    </row>
    <row r="42" spans="1:14" s="410" customFormat="1" ht="18.75" hidden="1" x14ac:dyDescent="0.3">
      <c r="A42" s="577" t="s">
        <v>439</v>
      </c>
      <c r="B42" s="411"/>
      <c r="C42" s="411" t="s">
        <v>440</v>
      </c>
      <c r="D42" s="411"/>
      <c r="E42" s="411"/>
      <c r="F42" s="671" t="s">
        <v>439</v>
      </c>
      <c r="G42" s="671"/>
      <c r="H42" s="671"/>
      <c r="I42" s="411"/>
      <c r="J42" s="411"/>
      <c r="K42" s="407"/>
    </row>
    <row r="43" spans="1:14" hidden="1" x14ac:dyDescent="0.25"/>
    <row r="44" spans="1:14" hidden="1" x14ac:dyDescent="0.25"/>
  </sheetData>
  <mergeCells count="6">
    <mergeCell ref="A1:H1"/>
    <mergeCell ref="A3:H3"/>
    <mergeCell ref="F40:H40"/>
    <mergeCell ref="F41:H41"/>
    <mergeCell ref="F42:H42"/>
    <mergeCell ref="A2:H2"/>
  </mergeCells>
  <printOptions horizontalCentered="1"/>
  <pageMargins left="0.11811023622047245" right="0.11811023622047245" top="0.55118110236220474" bottom="0.15748031496062992" header="0.31496062992125984" footer="0.31496062992125984"/>
  <pageSetup paperSize="9" orientation="landscape" verticalDpi="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6"/>
  <sheetViews>
    <sheetView topLeftCell="A4" workbookViewId="0">
      <pane xSplit="2" ySplit="6" topLeftCell="C10" activePane="bottomRight" state="frozen"/>
      <selection activeCell="A4" sqref="A4"/>
      <selection pane="topRight" activeCell="C4" sqref="C4"/>
      <selection pane="bottomLeft" activeCell="A9" sqref="A9"/>
      <selection pane="bottomRight" activeCell="A7" sqref="A7:F7"/>
    </sheetView>
  </sheetViews>
  <sheetFormatPr defaultRowHeight="15" x14ac:dyDescent="0.25"/>
  <cols>
    <col min="1" max="1" width="7.140625" customWidth="1"/>
    <col min="2" max="2" width="55.140625" customWidth="1"/>
    <col min="3" max="3" width="17.42578125" customWidth="1"/>
    <col min="4" max="4" width="13.140625" hidden="1" customWidth="1"/>
    <col min="5" max="5" width="12.85546875" hidden="1" customWidth="1"/>
    <col min="6" max="6" width="17.42578125" customWidth="1"/>
    <col min="7" max="7" width="19.42578125" customWidth="1"/>
  </cols>
  <sheetData>
    <row r="1" spans="1:7" ht="15.6" customHeight="1" x14ac:dyDescent="0.25">
      <c r="A1" s="680" t="s">
        <v>13</v>
      </c>
      <c r="B1" s="680"/>
      <c r="C1" s="2"/>
      <c r="D1" s="2"/>
      <c r="E1" s="681" t="s">
        <v>234</v>
      </c>
      <c r="F1" s="681"/>
    </row>
    <row r="2" spans="1:7" x14ac:dyDescent="0.25">
      <c r="A2" s="8"/>
      <c r="B2" s="2"/>
      <c r="C2" s="2"/>
      <c r="D2" s="2"/>
      <c r="E2" s="2"/>
      <c r="F2" s="2"/>
    </row>
    <row r="3" spans="1:7" x14ac:dyDescent="0.25">
      <c r="A3" s="8"/>
      <c r="B3" s="2"/>
      <c r="C3" s="2"/>
      <c r="D3" s="2"/>
      <c r="E3" s="2"/>
      <c r="F3" s="2"/>
    </row>
    <row r="4" spans="1:7" ht="15.6" customHeight="1" x14ac:dyDescent="0.25">
      <c r="A4" s="600" t="s">
        <v>603</v>
      </c>
      <c r="B4" s="600"/>
      <c r="C4" s="600"/>
      <c r="D4" s="600"/>
      <c r="E4" s="600"/>
      <c r="F4" s="600"/>
    </row>
    <row r="5" spans="1:7" ht="22.7" customHeight="1" x14ac:dyDescent="0.25">
      <c r="A5" s="682" t="s">
        <v>179</v>
      </c>
      <c r="B5" s="682"/>
      <c r="C5" s="682"/>
      <c r="D5" s="682"/>
      <c r="E5" s="682"/>
      <c r="F5" s="682"/>
    </row>
    <row r="6" spans="1:7" ht="16.5" x14ac:dyDescent="0.25">
      <c r="A6" s="682" t="s">
        <v>604</v>
      </c>
      <c r="B6" s="682"/>
      <c r="C6" s="682"/>
      <c r="D6" s="682"/>
      <c r="E6" s="682"/>
      <c r="F6" s="682"/>
    </row>
    <row r="7" spans="1:7" ht="16.5" x14ac:dyDescent="0.25">
      <c r="A7" s="683" t="str">
        <f>'60'!A3:J3</f>
        <v>(Kèm theo Nghị quyết số 13/NQ-HĐND ngày 25 tháng 3 năm 2026 của HĐND  xã Quỳnh Nhai)</v>
      </c>
      <c r="B7" s="683"/>
      <c r="C7" s="683"/>
      <c r="D7" s="683"/>
      <c r="E7" s="683"/>
      <c r="F7" s="683"/>
    </row>
    <row r="8" spans="1:7" ht="30" customHeight="1" x14ac:dyDescent="0.25">
      <c r="B8" s="2"/>
      <c r="C8" s="2"/>
      <c r="D8" s="2"/>
      <c r="E8" s="633" t="s">
        <v>227</v>
      </c>
      <c r="F8" s="633"/>
    </row>
    <row r="9" spans="1:7" s="25" customFormat="1" ht="21.75" customHeight="1" x14ac:dyDescent="0.25">
      <c r="A9" s="9" t="s">
        <v>14</v>
      </c>
      <c r="B9" s="9" t="s">
        <v>15</v>
      </c>
      <c r="C9" s="9" t="s">
        <v>1</v>
      </c>
      <c r="D9" s="9" t="s">
        <v>174</v>
      </c>
      <c r="E9" s="9" t="s">
        <v>175</v>
      </c>
      <c r="F9" s="9" t="s">
        <v>176</v>
      </c>
    </row>
    <row r="10" spans="1:7" ht="15" customHeight="1" x14ac:dyDescent="0.25">
      <c r="A10" s="5" t="s">
        <v>21</v>
      </c>
      <c r="B10" s="5" t="s">
        <v>22</v>
      </c>
      <c r="C10" s="5">
        <v>1</v>
      </c>
      <c r="D10" s="5">
        <v>2</v>
      </c>
      <c r="E10" s="5">
        <v>3</v>
      </c>
      <c r="F10" s="5">
        <v>4</v>
      </c>
    </row>
    <row r="11" spans="1:7" ht="25.5" customHeight="1" x14ac:dyDescent="0.25">
      <c r="A11" s="9" t="s">
        <v>21</v>
      </c>
      <c r="B11" s="3" t="s">
        <v>180</v>
      </c>
      <c r="C11" s="29">
        <f>C12+C23</f>
        <v>1099193000</v>
      </c>
      <c r="D11" s="29">
        <f>D12+D23</f>
        <v>0</v>
      </c>
      <c r="E11" s="29">
        <f>E12+E23</f>
        <v>0</v>
      </c>
      <c r="F11" s="30">
        <f>F12+F23</f>
        <v>1099193000</v>
      </c>
    </row>
    <row r="12" spans="1:7" s="25" customFormat="1" ht="25.5" customHeight="1" x14ac:dyDescent="0.25">
      <c r="A12" s="9" t="s">
        <v>115</v>
      </c>
      <c r="B12" s="3" t="s">
        <v>181</v>
      </c>
      <c r="C12" s="29">
        <f>D12+E12+F12</f>
        <v>1099193000</v>
      </c>
      <c r="D12" s="29">
        <f>D13+D14+D15+D22</f>
        <v>0</v>
      </c>
      <c r="E12" s="29">
        <f>E13+E14+E15+E22</f>
        <v>0</v>
      </c>
      <c r="F12" s="30">
        <f>F13+F14+F15+F22</f>
        <v>1099193000</v>
      </c>
    </row>
    <row r="13" spans="1:7" ht="25.5" customHeight="1" x14ac:dyDescent="0.25">
      <c r="A13" s="5">
        <v>1</v>
      </c>
      <c r="B13" s="4" t="s">
        <v>182</v>
      </c>
      <c r="C13" s="29">
        <f>D13+E13+F13</f>
        <v>0</v>
      </c>
      <c r="D13" s="31"/>
      <c r="E13" s="31"/>
      <c r="F13" s="32"/>
    </row>
    <row r="14" spans="1:7" ht="25.5" customHeight="1" x14ac:dyDescent="0.25">
      <c r="A14" s="5">
        <v>2</v>
      </c>
      <c r="B14" s="4" t="s">
        <v>183</v>
      </c>
      <c r="C14" s="29">
        <f>D14+E14+F14</f>
        <v>0</v>
      </c>
      <c r="D14" s="31"/>
      <c r="E14" s="31"/>
      <c r="F14" s="32"/>
    </row>
    <row r="15" spans="1:7" ht="25.5" customHeight="1" x14ac:dyDescent="0.25">
      <c r="A15" s="5">
        <v>3</v>
      </c>
      <c r="B15" s="4" t="s">
        <v>184</v>
      </c>
      <c r="C15" s="29">
        <f>SUM(C16:C21)</f>
        <v>1099193000</v>
      </c>
      <c r="D15" s="29">
        <f t="shared" ref="D15:F15" si="0">SUM(D16:D21)</f>
        <v>0</v>
      </c>
      <c r="E15" s="29">
        <f t="shared" si="0"/>
        <v>0</v>
      </c>
      <c r="F15" s="29">
        <f t="shared" si="0"/>
        <v>1099193000</v>
      </c>
      <c r="G15" s="33"/>
    </row>
    <row r="16" spans="1:7" s="24" customFormat="1" ht="25.5" customHeight="1" x14ac:dyDescent="0.25">
      <c r="A16" s="23"/>
      <c r="B16" s="10" t="s">
        <v>185</v>
      </c>
      <c r="C16" s="34">
        <f t="shared" ref="C16:C21" si="1">D16+E16+F16</f>
        <v>548236000</v>
      </c>
      <c r="D16" s="34"/>
      <c r="E16" s="34"/>
      <c r="F16" s="34">
        <v>548236000</v>
      </c>
    </row>
    <row r="17" spans="1:7" s="24" customFormat="1" ht="25.5" customHeight="1" x14ac:dyDescent="0.25">
      <c r="A17" s="23"/>
      <c r="B17" s="62" t="s">
        <v>283</v>
      </c>
      <c r="C17" s="34">
        <f t="shared" si="1"/>
        <v>550957000</v>
      </c>
      <c r="D17" s="34"/>
      <c r="E17" s="34"/>
      <c r="F17" s="35">
        <v>550957000</v>
      </c>
      <c r="G17" s="346"/>
    </row>
    <row r="18" spans="1:7" s="24" customFormat="1" ht="25.5" customHeight="1" x14ac:dyDescent="0.25">
      <c r="A18" s="23"/>
      <c r="B18" s="10" t="s">
        <v>186</v>
      </c>
      <c r="C18" s="29">
        <f t="shared" si="1"/>
        <v>0</v>
      </c>
      <c r="D18" s="34"/>
      <c r="E18" s="34"/>
      <c r="F18" s="35"/>
      <c r="G18" s="346"/>
    </row>
    <row r="19" spans="1:7" s="24" customFormat="1" ht="25.5" customHeight="1" x14ac:dyDescent="0.25">
      <c r="A19" s="23"/>
      <c r="B19" s="10" t="s">
        <v>187</v>
      </c>
      <c r="C19" s="29">
        <f t="shared" si="1"/>
        <v>0</v>
      </c>
      <c r="D19" s="34"/>
      <c r="E19" s="34"/>
      <c r="F19" s="35"/>
      <c r="G19" s="346"/>
    </row>
    <row r="20" spans="1:7" s="24" customFormat="1" ht="25.5" customHeight="1" x14ac:dyDescent="0.25">
      <c r="A20" s="23"/>
      <c r="B20" s="10" t="s">
        <v>188</v>
      </c>
      <c r="C20" s="29">
        <f t="shared" si="1"/>
        <v>0</v>
      </c>
      <c r="D20" s="34"/>
      <c r="E20" s="34"/>
      <c r="F20" s="35"/>
    </row>
    <row r="21" spans="1:7" s="24" customFormat="1" ht="25.5" customHeight="1" x14ac:dyDescent="0.25">
      <c r="A21" s="23"/>
      <c r="B21" s="62" t="s">
        <v>368</v>
      </c>
      <c r="C21" s="34">
        <f t="shared" si="1"/>
        <v>0</v>
      </c>
      <c r="D21" s="34"/>
      <c r="E21" s="34"/>
      <c r="F21" s="35"/>
    </row>
    <row r="22" spans="1:7" ht="25.5" customHeight="1" x14ac:dyDescent="0.25">
      <c r="A22" s="5">
        <v>4</v>
      </c>
      <c r="B22" s="4" t="s">
        <v>262</v>
      </c>
      <c r="C22" s="31">
        <f>SUM(D22:F22)</f>
        <v>0</v>
      </c>
      <c r="D22" s="31"/>
      <c r="E22" s="31"/>
      <c r="F22" s="32"/>
      <c r="G22" s="33"/>
    </row>
    <row r="23" spans="1:7" s="25" customFormat="1" ht="25.5" customHeight="1" x14ac:dyDescent="0.25">
      <c r="A23" s="9" t="s">
        <v>71</v>
      </c>
      <c r="B23" s="3" t="s">
        <v>189</v>
      </c>
      <c r="C23" s="29"/>
      <c r="D23" s="29"/>
      <c r="E23" s="29"/>
      <c r="F23" s="30"/>
    </row>
    <row r="24" spans="1:7" ht="25.5" customHeight="1" x14ac:dyDescent="0.25">
      <c r="A24" s="9" t="s">
        <v>22</v>
      </c>
      <c r="B24" s="3" t="s">
        <v>190</v>
      </c>
      <c r="C24" s="29">
        <f>C25+C26</f>
        <v>1099193000</v>
      </c>
      <c r="D24" s="29"/>
      <c r="E24" s="29">
        <f>E25+E26</f>
        <v>0</v>
      </c>
      <c r="F24" s="29">
        <f>F25+F26</f>
        <v>1099193000</v>
      </c>
    </row>
    <row r="25" spans="1:7" s="25" customFormat="1" ht="25.5" customHeight="1" x14ac:dyDescent="0.25">
      <c r="A25" s="9" t="s">
        <v>115</v>
      </c>
      <c r="B25" s="3" t="s">
        <v>191</v>
      </c>
      <c r="C25" s="29">
        <f>E25+F25</f>
        <v>0</v>
      </c>
      <c r="D25" s="29"/>
      <c r="E25" s="29"/>
      <c r="F25" s="30"/>
      <c r="G25" s="63"/>
    </row>
    <row r="26" spans="1:7" s="25" customFormat="1" ht="25.5" customHeight="1" x14ac:dyDescent="0.25">
      <c r="A26" s="9" t="s">
        <v>71</v>
      </c>
      <c r="B26" s="3" t="s">
        <v>159</v>
      </c>
      <c r="C26" s="29">
        <f>E26+F26</f>
        <v>1099193000</v>
      </c>
      <c r="D26" s="29"/>
      <c r="E26" s="29">
        <f>SUM(E27:E30)</f>
        <v>0</v>
      </c>
      <c r="F26" s="29">
        <f>SUM(F27:F30)</f>
        <v>1099193000</v>
      </c>
    </row>
    <row r="27" spans="1:7" ht="25.5" customHeight="1" x14ac:dyDescent="0.25">
      <c r="A27" s="5">
        <v>1</v>
      </c>
      <c r="B27" s="4" t="s">
        <v>192</v>
      </c>
      <c r="C27" s="31">
        <f>E27+F27</f>
        <v>1099193000</v>
      </c>
      <c r="D27" s="31"/>
      <c r="E27" s="31">
        <f>E15</f>
        <v>0</v>
      </c>
      <c r="F27" s="31">
        <f>F15</f>
        <v>1099193000</v>
      </c>
    </row>
    <row r="28" spans="1:7" ht="25.5" customHeight="1" x14ac:dyDescent="0.25">
      <c r="A28" s="5">
        <v>2</v>
      </c>
      <c r="B28" s="4" t="s">
        <v>226</v>
      </c>
      <c r="C28" s="31">
        <f>E28+F28</f>
        <v>0</v>
      </c>
      <c r="D28" s="31"/>
      <c r="E28" s="31"/>
      <c r="F28" s="32"/>
    </row>
    <row r="29" spans="1:7" ht="25.5" customHeight="1" x14ac:dyDescent="0.25">
      <c r="A29" s="5">
        <v>3</v>
      </c>
      <c r="B29" s="4" t="s">
        <v>223</v>
      </c>
      <c r="C29" s="31"/>
      <c r="D29" s="31"/>
      <c r="E29" s="31"/>
      <c r="F29" s="32"/>
    </row>
    <row r="30" spans="1:7" ht="25.5" customHeight="1" x14ac:dyDescent="0.25">
      <c r="A30" s="5">
        <v>4</v>
      </c>
      <c r="B30" s="4" t="s">
        <v>222</v>
      </c>
      <c r="C30" s="31"/>
      <c r="D30" s="31"/>
      <c r="E30" s="31"/>
      <c r="F30" s="32"/>
    </row>
    <row r="31" spans="1:7" x14ac:dyDescent="0.25">
      <c r="A31" s="6"/>
      <c r="B31" s="2"/>
      <c r="C31" s="2"/>
      <c r="D31" s="2"/>
      <c r="E31" s="2"/>
      <c r="F31" s="2"/>
    </row>
    <row r="32" spans="1:7" ht="17.25" hidden="1" customHeight="1" x14ac:dyDescent="0.25">
      <c r="A32" s="14"/>
      <c r="B32" s="7"/>
      <c r="C32" s="674" t="s">
        <v>258</v>
      </c>
      <c r="D32" s="674"/>
      <c r="E32" s="674"/>
      <c r="F32" s="674"/>
      <c r="G32" s="13"/>
    </row>
    <row r="33" spans="1:7" ht="15" hidden="1" customHeight="1" x14ac:dyDescent="0.25">
      <c r="A33" s="677"/>
      <c r="B33" s="677"/>
      <c r="C33" s="678" t="s">
        <v>219</v>
      </c>
      <c r="D33" s="678"/>
      <c r="E33" s="678"/>
      <c r="F33" s="678"/>
      <c r="G33" s="1"/>
    </row>
    <row r="34" spans="1:7" ht="15" hidden="1" customHeight="1" x14ac:dyDescent="0.25">
      <c r="A34" s="676" t="s">
        <v>257</v>
      </c>
      <c r="B34" s="676"/>
      <c r="C34" s="679" t="s">
        <v>220</v>
      </c>
      <c r="D34" s="679"/>
      <c r="E34" s="679"/>
      <c r="F34" s="679"/>
    </row>
    <row r="35" spans="1:7" hidden="1" x14ac:dyDescent="0.25">
      <c r="A35" s="6"/>
      <c r="B35" s="2"/>
      <c r="C35" s="2"/>
      <c r="D35" s="2"/>
    </row>
    <row r="36" spans="1:7" hidden="1" x14ac:dyDescent="0.25"/>
    <row r="37" spans="1:7" hidden="1" x14ac:dyDescent="0.25"/>
    <row r="38" spans="1:7" hidden="1" x14ac:dyDescent="0.25"/>
    <row r="39" spans="1:7" hidden="1" x14ac:dyDescent="0.25"/>
    <row r="40" spans="1:7" s="36" customFormat="1" hidden="1" x14ac:dyDescent="0.25">
      <c r="A40" s="675"/>
      <c r="B40" s="675"/>
      <c r="C40"/>
      <c r="D40"/>
      <c r="E40"/>
      <c r="F40"/>
    </row>
    <row r="41" spans="1:7" ht="15.75" hidden="1" x14ac:dyDescent="0.25">
      <c r="A41" s="675" t="s">
        <v>225</v>
      </c>
      <c r="B41" s="675"/>
      <c r="C41" s="673" t="s">
        <v>236</v>
      </c>
      <c r="D41" s="673"/>
      <c r="E41" s="673"/>
      <c r="F41" s="673"/>
    </row>
    <row r="42" spans="1:7" ht="15.75" hidden="1" x14ac:dyDescent="0.25">
      <c r="C42" s="673"/>
      <c r="D42" s="673"/>
      <c r="E42" s="673"/>
      <c r="F42" s="673"/>
    </row>
    <row r="43" spans="1:7" hidden="1" x14ac:dyDescent="0.25"/>
    <row r="44" spans="1:7" hidden="1" x14ac:dyDescent="0.25"/>
    <row r="45" spans="1:7" hidden="1" x14ac:dyDescent="0.25"/>
    <row r="46" spans="1:7" hidden="1" x14ac:dyDescent="0.25"/>
  </sheetData>
  <mergeCells count="16">
    <mergeCell ref="E8:F8"/>
    <mergeCell ref="A1:B1"/>
    <mergeCell ref="E1:F1"/>
    <mergeCell ref="A5:F5"/>
    <mergeCell ref="A6:F6"/>
    <mergeCell ref="A7:F7"/>
    <mergeCell ref="A4:F4"/>
    <mergeCell ref="C42:F42"/>
    <mergeCell ref="C32:F32"/>
    <mergeCell ref="C41:F41"/>
    <mergeCell ref="A41:B41"/>
    <mergeCell ref="A34:B34"/>
    <mergeCell ref="A33:B33"/>
    <mergeCell ref="A40:B40"/>
    <mergeCell ref="C33:F33"/>
    <mergeCell ref="C34:F34"/>
  </mergeCells>
  <printOptions horizontalCentered="1"/>
  <pageMargins left="0.19685039370078741" right="0.19685039370078741" top="0.43307086614173229" bottom="0.47244094488188981" header="0.31496062992125984" footer="0.31496062992125984"/>
  <pageSetup paperSize="9" scale="95" orientation="portrait" verticalDpi="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30"/>
  <sheetViews>
    <sheetView workbookViewId="0">
      <selection sqref="A1:E1"/>
    </sheetView>
  </sheetViews>
  <sheetFormatPr defaultRowHeight="15" x14ac:dyDescent="0.25"/>
  <cols>
    <col min="1" max="1" width="6.140625" customWidth="1"/>
    <col min="2" max="2" width="42.85546875" customWidth="1"/>
    <col min="3" max="3" width="16" customWidth="1"/>
    <col min="4" max="4" width="17" customWidth="1"/>
    <col min="5" max="5" width="18.85546875" customWidth="1"/>
    <col min="6" max="6" width="10.140625" customWidth="1"/>
    <col min="7" max="7" width="8.42578125" customWidth="1"/>
    <col min="8" max="8" width="15.5703125" style="81" hidden="1" customWidth="1"/>
    <col min="9" max="9" width="16.42578125" style="81" hidden="1" customWidth="1"/>
    <col min="10" max="10" width="14.5703125" style="81" hidden="1" customWidth="1"/>
    <col min="11" max="11" width="19.85546875" style="81" bestFit="1" customWidth="1"/>
    <col min="12" max="12" width="15.42578125" style="81" customWidth="1"/>
    <col min="13" max="13" width="9" style="81"/>
  </cols>
  <sheetData>
    <row r="1" spans="1:14" ht="18" customHeight="1" x14ac:dyDescent="0.25">
      <c r="A1" s="163" t="s">
        <v>478</v>
      </c>
      <c r="B1" s="599"/>
      <c r="C1" s="2"/>
      <c r="D1" s="2"/>
      <c r="E1" s="2"/>
      <c r="F1" s="13"/>
      <c r="G1" s="13"/>
    </row>
    <row r="2" spans="1:14" ht="38.25" customHeight="1" x14ac:dyDescent="0.25">
      <c r="A2" s="8"/>
      <c r="B2" s="2"/>
      <c r="C2" s="2"/>
      <c r="D2" s="2"/>
      <c r="E2" s="2"/>
      <c r="F2" s="2"/>
      <c r="G2" s="2"/>
    </row>
    <row r="3" spans="1:14" ht="15.75" x14ac:dyDescent="0.25">
      <c r="A3" s="686" t="s">
        <v>194</v>
      </c>
      <c r="B3" s="686"/>
      <c r="C3" s="686"/>
      <c r="D3" s="686"/>
      <c r="E3" s="686"/>
      <c r="F3" s="686"/>
      <c r="G3" s="686"/>
    </row>
    <row r="4" spans="1:14" ht="19.5" customHeight="1" x14ac:dyDescent="0.25">
      <c r="A4" s="686" t="s">
        <v>370</v>
      </c>
      <c r="B4" s="686"/>
      <c r="C4" s="686"/>
      <c r="D4" s="686"/>
      <c r="E4" s="686"/>
      <c r="F4" s="686"/>
      <c r="G4" s="686"/>
    </row>
    <row r="5" spans="1:14" ht="16.5" x14ac:dyDescent="0.25">
      <c r="A5" s="683" t="str">
        <f>'66'!A7:F7</f>
        <v>(Kèm theo Nghị quyết số 13/NQ-HĐND ngày 25 tháng 3 năm 2026 của HĐND  xã Quỳnh Nhai)</v>
      </c>
      <c r="B5" s="683"/>
      <c r="C5" s="683"/>
      <c r="D5" s="683"/>
      <c r="E5" s="683"/>
      <c r="F5" s="683"/>
      <c r="G5" s="683"/>
    </row>
    <row r="6" spans="1:14" ht="39" customHeight="1" x14ac:dyDescent="0.25">
      <c r="B6" s="2"/>
      <c r="C6" s="2"/>
      <c r="D6" s="2"/>
      <c r="E6" s="2"/>
      <c r="F6" s="633" t="s">
        <v>173</v>
      </c>
      <c r="G6" s="633"/>
    </row>
    <row r="7" spans="1:14" s="11" customFormat="1" ht="25.5" customHeight="1" x14ac:dyDescent="0.25">
      <c r="A7" s="607" t="s">
        <v>14</v>
      </c>
      <c r="B7" s="607" t="s">
        <v>15</v>
      </c>
      <c r="C7" s="607" t="s">
        <v>1</v>
      </c>
      <c r="D7" s="607" t="s">
        <v>177</v>
      </c>
      <c r="E7" s="607"/>
      <c r="F7" s="607"/>
      <c r="G7" s="607" t="s">
        <v>178</v>
      </c>
      <c r="H7" s="82"/>
      <c r="I7" s="82"/>
      <c r="J7" s="82"/>
      <c r="K7" s="82"/>
      <c r="L7" s="82"/>
      <c r="M7" s="82"/>
    </row>
    <row r="8" spans="1:14" s="11" customFormat="1" ht="36" customHeight="1" x14ac:dyDescent="0.25">
      <c r="A8" s="607"/>
      <c r="B8" s="607"/>
      <c r="C8" s="607"/>
      <c r="D8" s="5" t="s">
        <v>195</v>
      </c>
      <c r="E8" s="5" t="s">
        <v>196</v>
      </c>
      <c r="F8" s="5" t="s">
        <v>197</v>
      </c>
      <c r="G8" s="607"/>
      <c r="H8" s="82"/>
      <c r="I8" s="82"/>
      <c r="J8" s="82"/>
      <c r="K8" s="82"/>
      <c r="L8" s="82"/>
      <c r="M8" s="82"/>
    </row>
    <row r="9" spans="1:14" s="11" customFormat="1" ht="18.75" customHeight="1" x14ac:dyDescent="0.25">
      <c r="A9" s="5" t="s">
        <v>21</v>
      </c>
      <c r="B9" s="5" t="s">
        <v>22</v>
      </c>
      <c r="C9" s="5">
        <v>1</v>
      </c>
      <c r="D9" s="5">
        <v>2</v>
      </c>
      <c r="E9" s="5">
        <v>3</v>
      </c>
      <c r="F9" s="5">
        <v>4</v>
      </c>
      <c r="G9" s="5">
        <v>5</v>
      </c>
      <c r="H9" s="82"/>
      <c r="I9" s="82"/>
      <c r="J9" s="82"/>
      <c r="K9" s="82"/>
      <c r="L9" s="82"/>
      <c r="M9" s="82"/>
    </row>
    <row r="10" spans="1:14" s="69" customFormat="1" ht="30" customHeight="1" x14ac:dyDescent="0.25">
      <c r="A10" s="21" t="s">
        <v>21</v>
      </c>
      <c r="B10" s="15" t="s">
        <v>180</v>
      </c>
      <c r="C10" s="17">
        <f>D10+E10+F10</f>
        <v>4321796659</v>
      </c>
      <c r="D10" s="17">
        <f>SUM(D11:D11)</f>
        <v>3114417000</v>
      </c>
      <c r="E10" s="17">
        <f>SUM(E11:E11)</f>
        <v>1207379659</v>
      </c>
      <c r="F10" s="19"/>
      <c r="G10" s="19"/>
      <c r="H10" s="200">
        <v>10709125950</v>
      </c>
      <c r="I10" s="286">
        <f>SUM(D11:D11)</f>
        <v>3114417000</v>
      </c>
      <c r="J10" s="286">
        <f>I10-D10</f>
        <v>0</v>
      </c>
      <c r="K10" s="83"/>
      <c r="L10" s="83"/>
      <c r="M10" s="83"/>
    </row>
    <row r="11" spans="1:14" s="285" customFormat="1" ht="26.45" customHeight="1" x14ac:dyDescent="0.25">
      <c r="A11" s="23"/>
      <c r="B11" s="10" t="s">
        <v>254</v>
      </c>
      <c r="C11" s="283">
        <f t="shared" ref="C11" si="0">D11+E11+F11</f>
        <v>4321796659</v>
      </c>
      <c r="D11" s="283">
        <f>3173390000-58973000</f>
        <v>3114417000</v>
      </c>
      <c r="E11" s="283">
        <f>1207379659</f>
        <v>1207379659</v>
      </c>
      <c r="F11" s="283"/>
      <c r="G11" s="283"/>
      <c r="H11" s="284"/>
      <c r="I11" s="289" t="s">
        <v>327</v>
      </c>
      <c r="J11" s="290">
        <v>36018000</v>
      </c>
      <c r="K11" s="413">
        <v>1175362659</v>
      </c>
      <c r="L11" s="413">
        <f>E11-K11</f>
        <v>32017000</v>
      </c>
      <c r="M11" s="413"/>
      <c r="N11" s="414"/>
    </row>
    <row r="12" spans="1:14" s="58" customFormat="1" ht="30" customHeight="1" x14ac:dyDescent="0.25">
      <c r="A12" s="21" t="s">
        <v>22</v>
      </c>
      <c r="B12" s="15" t="s">
        <v>190</v>
      </c>
      <c r="C12" s="17">
        <f t="shared" ref="C12:C20" si="1">D12+E12+F12</f>
        <v>3114317000</v>
      </c>
      <c r="D12" s="17">
        <f>D13+D14+D15</f>
        <v>3114317000</v>
      </c>
      <c r="E12" s="17">
        <f>E13+E14+E15</f>
        <v>0</v>
      </c>
      <c r="F12" s="17"/>
      <c r="G12" s="19"/>
      <c r="H12" s="201">
        <f>H10-D12</f>
        <v>7594808950</v>
      </c>
      <c r="I12" s="291"/>
      <c r="J12" s="290">
        <v>185154639</v>
      </c>
      <c r="K12" s="415"/>
      <c r="L12" s="415"/>
      <c r="M12" s="415"/>
      <c r="N12" s="416"/>
    </row>
    <row r="13" spans="1:14" s="22" customFormat="1" ht="30" customHeight="1" x14ac:dyDescent="0.25">
      <c r="A13" s="9" t="s">
        <v>115</v>
      </c>
      <c r="B13" s="3" t="s">
        <v>191</v>
      </c>
      <c r="C13" s="17">
        <f t="shared" si="1"/>
        <v>0</v>
      </c>
      <c r="D13" s="17"/>
      <c r="E13" s="17"/>
      <c r="F13" s="17"/>
      <c r="G13" s="17"/>
      <c r="H13" s="202"/>
      <c r="I13" s="292"/>
      <c r="J13" s="290">
        <v>941488908</v>
      </c>
      <c r="K13" s="202"/>
      <c r="L13" s="184"/>
      <c r="M13" s="184"/>
      <c r="N13" s="417"/>
    </row>
    <row r="14" spans="1:14" s="22" customFormat="1" ht="30" customHeight="1" x14ac:dyDescent="0.25">
      <c r="A14" s="9" t="s">
        <v>71</v>
      </c>
      <c r="B14" s="3" t="s">
        <v>198</v>
      </c>
      <c r="C14" s="17">
        <f t="shared" si="1"/>
        <v>0</v>
      </c>
      <c r="D14" s="17"/>
      <c r="E14" s="17"/>
      <c r="F14" s="17"/>
      <c r="G14" s="17"/>
      <c r="H14" s="202"/>
      <c r="I14" s="293"/>
      <c r="J14" s="290"/>
      <c r="K14" s="203"/>
      <c r="L14" s="84"/>
      <c r="M14" s="84"/>
    </row>
    <row r="15" spans="1:14" s="22" customFormat="1" ht="30" customHeight="1" x14ac:dyDescent="0.25">
      <c r="A15" s="9" t="s">
        <v>89</v>
      </c>
      <c r="B15" s="3" t="s">
        <v>159</v>
      </c>
      <c r="C15" s="17">
        <f>SUM(C16:C21)</f>
        <v>3114317000</v>
      </c>
      <c r="D15" s="17">
        <f>SUM(D16:D21)</f>
        <v>3114317000</v>
      </c>
      <c r="E15" s="17">
        <f>SUM(E16:E21)</f>
        <v>0</v>
      </c>
      <c r="F15" s="17">
        <f>SUM(F16:F21)</f>
        <v>0</v>
      </c>
      <c r="G15" s="17"/>
      <c r="H15" s="184"/>
      <c r="I15" s="293"/>
      <c r="J15" s="290"/>
      <c r="K15" s="84"/>
      <c r="L15" s="84"/>
      <c r="M15" s="84"/>
    </row>
    <row r="16" spans="1:14" s="11" customFormat="1" ht="23.25" customHeight="1" x14ac:dyDescent="0.25">
      <c r="A16" s="5">
        <v>1</v>
      </c>
      <c r="B16" s="4" t="s">
        <v>192</v>
      </c>
      <c r="C16" s="17">
        <f t="shared" si="1"/>
        <v>2690261000</v>
      </c>
      <c r="D16" s="18">
        <f>20000000+548236000+2083135000+38890000</f>
        <v>2690261000</v>
      </c>
      <c r="E16" s="18"/>
      <c r="F16" s="18"/>
      <c r="G16" s="18"/>
      <c r="H16" s="281">
        <f>SUM(D16:D21)</f>
        <v>3114317000</v>
      </c>
      <c r="I16" s="185"/>
      <c r="J16" s="82"/>
      <c r="K16" s="82"/>
      <c r="L16" s="82"/>
      <c r="M16" s="82"/>
    </row>
    <row r="17" spans="1:14" s="11" customFormat="1" ht="23.25" customHeight="1" x14ac:dyDescent="0.25">
      <c r="A17" s="5">
        <v>2</v>
      </c>
      <c r="B17" s="4" t="s">
        <v>263</v>
      </c>
      <c r="C17" s="17">
        <f t="shared" si="1"/>
        <v>0</v>
      </c>
      <c r="D17" s="18"/>
      <c r="E17" s="18"/>
      <c r="F17" s="18"/>
      <c r="G17" s="18"/>
      <c r="H17" s="281">
        <f>SUM(E18:E21)</f>
        <v>0</v>
      </c>
      <c r="I17" s="185" t="e">
        <f>#REF!-E18-E19-E21</f>
        <v>#REF!</v>
      </c>
      <c r="J17" s="82"/>
      <c r="K17" s="82"/>
      <c r="L17" s="82"/>
      <c r="M17" s="82"/>
    </row>
    <row r="18" spans="1:14" s="11" customFormat="1" ht="23.25" customHeight="1" x14ac:dyDescent="0.25">
      <c r="A18" s="5">
        <v>3</v>
      </c>
      <c r="B18" s="4" t="s">
        <v>282</v>
      </c>
      <c r="C18" s="17">
        <f t="shared" si="1"/>
        <v>0</v>
      </c>
      <c r="D18" s="18"/>
      <c r="E18" s="18"/>
      <c r="F18" s="18"/>
      <c r="G18" s="18"/>
      <c r="H18" s="82"/>
      <c r="I18" s="185"/>
      <c r="J18" s="82"/>
      <c r="K18" s="82"/>
      <c r="L18" s="82"/>
      <c r="M18" s="82"/>
    </row>
    <row r="19" spans="1:14" s="11" customFormat="1" ht="23.25" customHeight="1" x14ac:dyDescent="0.25">
      <c r="A19" s="5">
        <v>6</v>
      </c>
      <c r="B19" s="4" t="s">
        <v>193</v>
      </c>
      <c r="C19" s="17">
        <f t="shared" si="1"/>
        <v>4600000</v>
      </c>
      <c r="D19" s="18">
        <f>4600000</f>
        <v>4600000</v>
      </c>
      <c r="E19" s="18"/>
      <c r="F19" s="18"/>
      <c r="G19" s="18"/>
      <c r="H19" s="82"/>
      <c r="I19" s="82"/>
      <c r="J19" s="82"/>
      <c r="K19" s="82"/>
      <c r="L19" s="82"/>
      <c r="M19" s="82"/>
    </row>
    <row r="20" spans="1:14" s="11" customFormat="1" ht="23.25" customHeight="1" x14ac:dyDescent="0.25">
      <c r="A20" s="5">
        <v>7</v>
      </c>
      <c r="B20" s="4" t="s">
        <v>223</v>
      </c>
      <c r="C20" s="17">
        <f t="shared" si="1"/>
        <v>271564000</v>
      </c>
      <c r="D20" s="18">
        <f>57564000+214000000</f>
        <v>271564000</v>
      </c>
      <c r="E20" s="18"/>
      <c r="F20" s="18"/>
      <c r="G20" s="18"/>
      <c r="H20" s="82"/>
      <c r="I20" s="82"/>
      <c r="J20" s="82"/>
      <c r="K20" s="82"/>
      <c r="L20" s="82"/>
      <c r="M20" s="82"/>
    </row>
    <row r="21" spans="1:14" s="11" customFormat="1" ht="23.25" customHeight="1" x14ac:dyDescent="0.25">
      <c r="A21" s="5">
        <v>8</v>
      </c>
      <c r="B21" s="4" t="s">
        <v>222</v>
      </c>
      <c r="C21" s="17">
        <f>D21+E21+F21</f>
        <v>147892000</v>
      </c>
      <c r="D21" s="18">
        <f>28763000+119129000</f>
        <v>147892000</v>
      </c>
      <c r="E21" s="18"/>
      <c r="F21" s="18"/>
      <c r="G21" s="18"/>
      <c r="H21" s="82"/>
      <c r="I21" s="82"/>
      <c r="J21" s="82"/>
      <c r="K21" s="82"/>
      <c r="L21" s="82"/>
      <c r="M21" s="82"/>
    </row>
    <row r="22" spans="1:14" s="181" customFormat="1" ht="21" customHeight="1" x14ac:dyDescent="0.25">
      <c r="A22" s="109"/>
      <c r="B22" s="113" t="s">
        <v>224</v>
      </c>
      <c r="C22" s="178">
        <f>D22+E22</f>
        <v>1207479659</v>
      </c>
      <c r="D22" s="282">
        <f>D10-D12</f>
        <v>100000</v>
      </c>
      <c r="E22" s="179">
        <f>E10-E12</f>
        <v>1207379659</v>
      </c>
      <c r="F22" s="178">
        <f>F10-F12</f>
        <v>0</v>
      </c>
      <c r="G22" s="113"/>
      <c r="H22" s="279">
        <f>393204000</f>
        <v>393204000</v>
      </c>
      <c r="I22" s="279">
        <v>256654050</v>
      </c>
      <c r="J22" s="280">
        <f>SUM(H22:I22)</f>
        <v>649858050</v>
      </c>
      <c r="K22" s="180"/>
      <c r="L22" s="180"/>
      <c r="M22" s="180"/>
    </row>
    <row r="23" spans="1:14" hidden="1" x14ac:dyDescent="0.25">
      <c r="H23"/>
      <c r="N23" s="81"/>
    </row>
    <row r="24" spans="1:14" hidden="1" x14ac:dyDescent="0.25">
      <c r="B24" s="256" t="s">
        <v>321</v>
      </c>
      <c r="C24" s="186" t="s">
        <v>300</v>
      </c>
      <c r="D24" s="186" t="s">
        <v>295</v>
      </c>
      <c r="E24" s="186" t="s">
        <v>296</v>
      </c>
      <c r="F24" s="186" t="s">
        <v>255</v>
      </c>
    </row>
    <row r="25" spans="1:14" hidden="1" x14ac:dyDescent="0.25">
      <c r="B25" s="255"/>
      <c r="C25" s="192" t="s">
        <v>297</v>
      </c>
      <c r="D25" s="193">
        <f>SUM(D26:D27)</f>
        <v>26512198</v>
      </c>
      <c r="E25" s="193">
        <f t="shared" ref="E25:F25" si="2">SUM(E26:E27)</f>
        <v>1504800</v>
      </c>
      <c r="F25" s="193">
        <f t="shared" si="2"/>
        <v>28016998</v>
      </c>
      <c r="I25" s="295" t="s">
        <v>329</v>
      </c>
      <c r="J25" s="296">
        <f>SUM(J26:J29)</f>
        <v>4164740271</v>
      </c>
      <c r="K25" s="288">
        <f>J25-E22</f>
        <v>2957360612</v>
      </c>
    </row>
    <row r="26" spans="1:14" hidden="1" x14ac:dyDescent="0.25">
      <c r="B26" s="255" t="s">
        <v>322</v>
      </c>
      <c r="C26" s="187" t="s">
        <v>319</v>
      </c>
      <c r="D26" s="188">
        <f>16322753+8078245</f>
        <v>24400998</v>
      </c>
      <c r="E26" s="189">
        <f>600000</f>
        <v>600000</v>
      </c>
      <c r="F26" s="190">
        <f>SUM(D26:E26)</f>
        <v>25000998</v>
      </c>
      <c r="I26" s="297" t="s">
        <v>325</v>
      </c>
      <c r="J26" s="298">
        <v>1121386000</v>
      </c>
      <c r="K26" s="288">
        <f>J26+J27+J29</f>
        <v>4131481646</v>
      </c>
    </row>
    <row r="27" spans="1:14" hidden="1" x14ac:dyDescent="0.25">
      <c r="B27" s="255"/>
      <c r="C27" s="187" t="s">
        <v>320</v>
      </c>
      <c r="D27" s="191">
        <v>2111200</v>
      </c>
      <c r="E27" s="191">
        <v>904800</v>
      </c>
      <c r="F27" s="190">
        <f>SUM(D27:E27)</f>
        <v>3016000</v>
      </c>
      <c r="I27" s="297" t="s">
        <v>325</v>
      </c>
      <c r="J27" s="298">
        <v>2580556947</v>
      </c>
    </row>
    <row r="28" spans="1:14" s="197" customFormat="1" hidden="1" x14ac:dyDescent="0.25">
      <c r="B28" s="257"/>
      <c r="C28" s="194" t="s">
        <v>298</v>
      </c>
      <c r="D28" s="196">
        <f>D25-D29</f>
        <v>26512198</v>
      </c>
      <c r="E28" s="196">
        <f>E25-E29</f>
        <v>1504800</v>
      </c>
      <c r="F28" s="196">
        <f t="shared" ref="F28:F29" si="3">SUM(D28:E28)</f>
        <v>28016998</v>
      </c>
      <c r="H28" s="300">
        <f>F29+F36+F43+F50+F57+F65+F73+F80+F87+F94+F101</f>
        <v>33258625</v>
      </c>
      <c r="I28" s="297" t="s">
        <v>326</v>
      </c>
      <c r="J28" s="298">
        <f>31265025+1993600</f>
        <v>33258625</v>
      </c>
      <c r="K28" s="198"/>
      <c r="L28" s="198"/>
      <c r="M28" s="198"/>
    </row>
    <row r="29" spans="1:14" s="197" customFormat="1" ht="60" hidden="1" x14ac:dyDescent="0.25">
      <c r="B29" s="257"/>
      <c r="C29" s="194" t="s">
        <v>299</v>
      </c>
      <c r="D29" s="199"/>
      <c r="E29" s="195"/>
      <c r="F29" s="196">
        <f t="shared" si="3"/>
        <v>0</v>
      </c>
      <c r="G29" s="684"/>
      <c r="H29" s="685"/>
      <c r="I29" s="299" t="s">
        <v>328</v>
      </c>
      <c r="J29" s="298">
        <v>429538699</v>
      </c>
      <c r="K29" s="198"/>
      <c r="L29" s="198"/>
      <c r="M29" s="198"/>
    </row>
    <row r="30" spans="1:14" hidden="1" x14ac:dyDescent="0.25">
      <c r="B30" s="255"/>
    </row>
    <row r="31" spans="1:14" hidden="1" x14ac:dyDescent="0.25">
      <c r="B31" s="255" t="s">
        <v>323</v>
      </c>
      <c r="C31" s="244" t="s">
        <v>301</v>
      </c>
      <c r="D31" s="244" t="s">
        <v>295</v>
      </c>
      <c r="E31" s="244" t="s">
        <v>296</v>
      </c>
      <c r="F31" s="244" t="s">
        <v>255</v>
      </c>
    </row>
    <row r="32" spans="1:14" hidden="1" x14ac:dyDescent="0.25">
      <c r="B32" s="255"/>
      <c r="C32" s="245" t="s">
        <v>297</v>
      </c>
      <c r="D32" s="246">
        <f>SUM(D33:D34)</f>
        <v>1710800</v>
      </c>
      <c r="E32" s="246">
        <f t="shared" ref="E32" si="4">SUM(E33:E34)</f>
        <v>4008171</v>
      </c>
      <c r="F32" s="246">
        <f>SUM(F33:F34)</f>
        <v>5718971</v>
      </c>
    </row>
    <row r="33" spans="2:6" hidden="1" x14ac:dyDescent="0.25">
      <c r="B33" s="255"/>
      <c r="C33" s="247" t="s">
        <v>319</v>
      </c>
      <c r="D33" s="248">
        <v>1197700</v>
      </c>
      <c r="E33" s="249">
        <f>1197771+1243800+833400+513300</f>
        <v>3788271</v>
      </c>
      <c r="F33" s="250">
        <f>SUM(D33:E33)</f>
        <v>4985971</v>
      </c>
    </row>
    <row r="34" spans="2:6" hidden="1" x14ac:dyDescent="0.25">
      <c r="B34" s="255"/>
      <c r="C34" s="247" t="s">
        <v>320</v>
      </c>
      <c r="D34" s="251">
        <v>513100</v>
      </c>
      <c r="E34" s="251">
        <v>219900</v>
      </c>
      <c r="F34" s="250">
        <f>SUM(D34:E34)</f>
        <v>733000</v>
      </c>
    </row>
    <row r="35" spans="2:6" hidden="1" x14ac:dyDescent="0.25">
      <c r="B35" s="255"/>
      <c r="C35" s="252" t="s">
        <v>298</v>
      </c>
      <c r="D35" s="253">
        <f>D32-D36</f>
        <v>0</v>
      </c>
      <c r="E35" s="253">
        <f>E32-E36</f>
        <v>4008171</v>
      </c>
      <c r="F35" s="253">
        <f t="shared" ref="F35:F36" si="5">SUM(D35:E35)</f>
        <v>4008171</v>
      </c>
    </row>
    <row r="36" spans="2:6" hidden="1" x14ac:dyDescent="0.25">
      <c r="B36" s="255"/>
      <c r="C36" s="252" t="s">
        <v>299</v>
      </c>
      <c r="D36" s="254">
        <f>1197700+513100</f>
        <v>1710800</v>
      </c>
      <c r="E36" s="254"/>
      <c r="F36" s="253">
        <f t="shared" si="5"/>
        <v>1710800</v>
      </c>
    </row>
    <row r="37" spans="2:6" hidden="1" x14ac:dyDescent="0.25">
      <c r="B37" s="255"/>
    </row>
    <row r="38" spans="2:6" hidden="1" x14ac:dyDescent="0.25">
      <c r="B38" s="255" t="s">
        <v>322</v>
      </c>
      <c r="C38" s="186" t="s">
        <v>302</v>
      </c>
      <c r="D38" s="186" t="s">
        <v>295</v>
      </c>
      <c r="E38" s="186" t="s">
        <v>296</v>
      </c>
      <c r="F38" s="186" t="s">
        <v>255</v>
      </c>
    </row>
    <row r="39" spans="2:6" hidden="1" x14ac:dyDescent="0.25">
      <c r="B39" s="255"/>
      <c r="C39" s="192" t="s">
        <v>297</v>
      </c>
      <c r="D39" s="193">
        <f>SUM(D40:D41)</f>
        <v>77486321</v>
      </c>
      <c r="E39" s="193">
        <f t="shared" ref="E39" si="6">SUM(E40:E41)</f>
        <v>5408085</v>
      </c>
      <c r="F39" s="193">
        <f t="shared" ref="F39" si="7">SUM(F40:F41)</f>
        <v>82894406</v>
      </c>
    </row>
    <row r="40" spans="2:6" hidden="1" x14ac:dyDescent="0.25">
      <c r="B40" s="255"/>
      <c r="C40" s="187" t="s">
        <v>319</v>
      </c>
      <c r="D40" s="188">
        <f>68192455</f>
        <v>68192455</v>
      </c>
      <c r="E40" s="189">
        <f>1425000</f>
        <v>1425000</v>
      </c>
      <c r="F40" s="190">
        <f>SUM(D40:E40)</f>
        <v>69617455</v>
      </c>
    </row>
    <row r="41" spans="2:6" hidden="1" x14ac:dyDescent="0.25">
      <c r="B41" s="255"/>
      <c r="C41" s="187" t="s">
        <v>320</v>
      </c>
      <c r="D41" s="191">
        <v>9293866</v>
      </c>
      <c r="E41" s="191">
        <v>3983085</v>
      </c>
      <c r="F41" s="190">
        <f>SUM(D41:E41)</f>
        <v>13276951</v>
      </c>
    </row>
    <row r="42" spans="2:6" hidden="1" x14ac:dyDescent="0.25">
      <c r="B42" s="255"/>
      <c r="C42" s="194" t="s">
        <v>298</v>
      </c>
      <c r="D42" s="196">
        <f>D39-D43</f>
        <v>77486321</v>
      </c>
      <c r="E42" s="196">
        <f>E39-E43</f>
        <v>5408085</v>
      </c>
      <c r="F42" s="196">
        <f t="shared" ref="F42:F43" si="8">SUM(D42:E42)</f>
        <v>82894406</v>
      </c>
    </row>
    <row r="43" spans="2:6" hidden="1" x14ac:dyDescent="0.25">
      <c r="B43" s="255"/>
      <c r="C43" s="194" t="s">
        <v>299</v>
      </c>
      <c r="D43" s="191"/>
      <c r="E43" s="199"/>
      <c r="F43" s="196">
        <f t="shared" si="8"/>
        <v>0</v>
      </c>
    </row>
    <row r="44" spans="2:6" hidden="1" x14ac:dyDescent="0.25">
      <c r="B44" s="255"/>
    </row>
    <row r="45" spans="2:6" hidden="1" x14ac:dyDescent="0.25">
      <c r="B45" s="255" t="s">
        <v>323</v>
      </c>
      <c r="C45" s="186" t="s">
        <v>303</v>
      </c>
      <c r="D45" s="186" t="s">
        <v>295</v>
      </c>
      <c r="E45" s="186" t="s">
        <v>296</v>
      </c>
      <c r="F45" s="186" t="s">
        <v>255</v>
      </c>
    </row>
    <row r="46" spans="2:6" hidden="1" x14ac:dyDescent="0.25">
      <c r="B46" s="255"/>
      <c r="C46" s="192" t="s">
        <v>297</v>
      </c>
      <c r="D46" s="193">
        <f>SUM(D47:D48)</f>
        <v>24792575</v>
      </c>
      <c r="E46" s="193">
        <f t="shared" ref="E46" si="9">SUM(E47:E48)</f>
        <v>7079575</v>
      </c>
      <c r="F46" s="193">
        <f t="shared" ref="F46" si="10">SUM(F47:F48)</f>
        <v>31872150</v>
      </c>
    </row>
    <row r="47" spans="2:6" hidden="1" x14ac:dyDescent="0.25">
      <c r="B47" s="255"/>
      <c r="C47" s="187" t="s">
        <v>319</v>
      </c>
      <c r="D47" s="188">
        <f>11073566</f>
        <v>11073566</v>
      </c>
      <c r="E47" s="189">
        <f>1200000</f>
        <v>1200000</v>
      </c>
      <c r="F47" s="190">
        <f>SUM(D47:E47)</f>
        <v>12273566</v>
      </c>
    </row>
    <row r="48" spans="2:6" hidden="1" x14ac:dyDescent="0.25">
      <c r="B48" s="255"/>
      <c r="C48" s="187" t="s">
        <v>320</v>
      </c>
      <c r="D48" s="191">
        <v>13719009</v>
      </c>
      <c r="E48" s="191">
        <v>5879575</v>
      </c>
      <c r="F48" s="190">
        <f>SUM(D48:E48)</f>
        <v>19598584</v>
      </c>
    </row>
    <row r="49" spans="2:6" hidden="1" x14ac:dyDescent="0.25">
      <c r="B49" s="255"/>
      <c r="C49" s="194" t="s">
        <v>298</v>
      </c>
      <c r="D49" s="196">
        <f>D46-D50</f>
        <v>13719009</v>
      </c>
      <c r="E49" s="196">
        <f>E46-E50</f>
        <v>5879575</v>
      </c>
      <c r="F49" s="196">
        <f t="shared" ref="F49:F50" si="11">SUM(D49:E49)</f>
        <v>19598584</v>
      </c>
    </row>
    <row r="50" spans="2:6" hidden="1" x14ac:dyDescent="0.25">
      <c r="B50" s="255"/>
      <c r="C50" s="194" t="s">
        <v>299</v>
      </c>
      <c r="D50" s="191">
        <f>11073566</f>
        <v>11073566</v>
      </c>
      <c r="E50" s="199">
        <f>1200000</f>
        <v>1200000</v>
      </c>
      <c r="F50" s="196">
        <f t="shared" si="11"/>
        <v>12273566</v>
      </c>
    </row>
    <row r="51" spans="2:6" hidden="1" x14ac:dyDescent="0.25">
      <c r="B51" s="255"/>
    </row>
    <row r="52" spans="2:6" hidden="1" x14ac:dyDescent="0.25">
      <c r="B52" s="255" t="s">
        <v>323</v>
      </c>
      <c r="C52" s="186" t="s">
        <v>304</v>
      </c>
      <c r="D52" s="186" t="s">
        <v>295</v>
      </c>
      <c r="E52" s="186" t="s">
        <v>296</v>
      </c>
      <c r="F52" s="186" t="s">
        <v>255</v>
      </c>
    </row>
    <row r="53" spans="2:6" hidden="1" x14ac:dyDescent="0.25">
      <c r="B53" s="255"/>
      <c r="C53" s="192" t="s">
        <v>297</v>
      </c>
      <c r="D53" s="193">
        <f>SUM(D54:D55)</f>
        <v>17086300</v>
      </c>
      <c r="E53" s="193">
        <f t="shared" ref="E53:F53" si="12">SUM(E54:E55)</f>
        <v>10501000</v>
      </c>
      <c r="F53" s="193">
        <f t="shared" si="12"/>
        <v>27587300</v>
      </c>
    </row>
    <row r="54" spans="2:6" hidden="1" x14ac:dyDescent="0.25">
      <c r="B54" s="255"/>
      <c r="C54" s="187" t="s">
        <v>319</v>
      </c>
      <c r="D54" s="188">
        <f>15605800</f>
        <v>15605800</v>
      </c>
      <c r="E54" s="189">
        <f>1984000+1194300+6688200</f>
        <v>9866500</v>
      </c>
      <c r="F54" s="190">
        <f>SUM(D54:E54)</f>
        <v>25472300</v>
      </c>
    </row>
    <row r="55" spans="2:6" hidden="1" x14ac:dyDescent="0.25">
      <c r="B55" s="255"/>
      <c r="C55" s="187" t="s">
        <v>320</v>
      </c>
      <c r="D55" s="191">
        <v>1480500</v>
      </c>
      <c r="E55" s="191">
        <v>634500</v>
      </c>
      <c r="F55" s="190">
        <f>SUM(D55:E55)</f>
        <v>2115000</v>
      </c>
    </row>
    <row r="56" spans="2:6" hidden="1" x14ac:dyDescent="0.25">
      <c r="B56" s="255"/>
      <c r="C56" s="194" t="s">
        <v>298</v>
      </c>
      <c r="D56" s="196">
        <f>D53-D57</f>
        <v>0</v>
      </c>
      <c r="E56" s="196">
        <f>E53-E57</f>
        <v>9866500</v>
      </c>
      <c r="F56" s="196">
        <f t="shared" ref="F56:F57" si="13">SUM(D56:E56)</f>
        <v>9866500</v>
      </c>
    </row>
    <row r="57" spans="2:6" hidden="1" x14ac:dyDescent="0.25">
      <c r="B57" s="255"/>
      <c r="C57" s="194" t="s">
        <v>299</v>
      </c>
      <c r="D57" s="191">
        <f>15605800+1480500</f>
        <v>17086300</v>
      </c>
      <c r="E57" s="199">
        <v>634500</v>
      </c>
      <c r="F57" s="196">
        <f t="shared" si="13"/>
        <v>17720800</v>
      </c>
    </row>
    <row r="58" spans="2:6" hidden="1" x14ac:dyDescent="0.25">
      <c r="B58" s="255"/>
    </row>
    <row r="59" spans="2:6" hidden="1" x14ac:dyDescent="0.25">
      <c r="B59" s="255" t="s">
        <v>323</v>
      </c>
      <c r="C59" s="186" t="s">
        <v>305</v>
      </c>
      <c r="D59" s="186" t="s">
        <v>295</v>
      </c>
      <c r="E59" s="186" t="s">
        <v>296</v>
      </c>
      <c r="F59" s="186" t="s">
        <v>255</v>
      </c>
    </row>
    <row r="60" spans="2:6" hidden="1" x14ac:dyDescent="0.25">
      <c r="B60" s="255"/>
      <c r="C60" s="192" t="s">
        <v>297</v>
      </c>
      <c r="D60" s="193">
        <f>SUM(D61:D62)</f>
        <v>737207766</v>
      </c>
      <c r="E60" s="193">
        <f t="shared" ref="E60:F60" si="14">SUM(E61:E62)</f>
        <v>224901179</v>
      </c>
      <c r="F60" s="193">
        <f t="shared" si="14"/>
        <v>962108945</v>
      </c>
    </row>
    <row r="61" spans="2:6" hidden="1" x14ac:dyDescent="0.25">
      <c r="B61" s="255"/>
      <c r="C61" s="187" t="s">
        <v>319</v>
      </c>
      <c r="D61" s="188">
        <f>212438349</f>
        <v>212438349</v>
      </c>
      <c r="E61" s="189"/>
      <c r="F61" s="190">
        <f>SUM(D61:E61)</f>
        <v>212438349</v>
      </c>
    </row>
    <row r="62" spans="2:6" hidden="1" x14ac:dyDescent="0.25">
      <c r="B62" s="255"/>
      <c r="C62" s="187" t="s">
        <v>320</v>
      </c>
      <c r="D62" s="191">
        <v>524769417</v>
      </c>
      <c r="E62" s="191">
        <v>224901179</v>
      </c>
      <c r="F62" s="190">
        <f>SUM(D62:E62)</f>
        <v>749670596</v>
      </c>
    </row>
    <row r="63" spans="2:6" hidden="1" x14ac:dyDescent="0.25">
      <c r="B63" s="255"/>
      <c r="C63" s="260" t="s">
        <v>324</v>
      </c>
      <c r="D63" s="258">
        <v>429538465</v>
      </c>
      <c r="E63" s="258"/>
      <c r="F63" s="259"/>
    </row>
    <row r="64" spans="2:6" hidden="1" x14ac:dyDescent="0.25">
      <c r="B64" s="255"/>
      <c r="C64" s="194" t="s">
        <v>298</v>
      </c>
      <c r="D64" s="196">
        <f>D60-D65-D63</f>
        <v>307669301</v>
      </c>
      <c r="E64" s="196">
        <f>E60-E65</f>
        <v>224901179</v>
      </c>
      <c r="F64" s="196">
        <f t="shared" ref="F64:F65" si="15">SUM(D64:E64)</f>
        <v>532570480</v>
      </c>
    </row>
    <row r="65" spans="2:8" hidden="1" x14ac:dyDescent="0.25">
      <c r="B65" s="255"/>
      <c r="C65" s="194" t="s">
        <v>299</v>
      </c>
      <c r="D65" s="191"/>
      <c r="E65" s="199"/>
      <c r="F65" s="196">
        <f t="shared" si="15"/>
        <v>0</v>
      </c>
      <c r="H65" s="261">
        <f>D61+D62-D63-D64</f>
        <v>0</v>
      </c>
    </row>
    <row r="66" spans="2:8" hidden="1" x14ac:dyDescent="0.25">
      <c r="B66" s="255"/>
    </row>
    <row r="67" spans="2:8" hidden="1" x14ac:dyDescent="0.25">
      <c r="B67" s="255"/>
    </row>
    <row r="68" spans="2:8" hidden="1" x14ac:dyDescent="0.25">
      <c r="B68" s="255" t="s">
        <v>323</v>
      </c>
      <c r="C68" s="186" t="s">
        <v>306</v>
      </c>
      <c r="D68" s="186" t="s">
        <v>295</v>
      </c>
      <c r="E68" s="186" t="s">
        <v>296</v>
      </c>
      <c r="F68" s="186" t="s">
        <v>255</v>
      </c>
    </row>
    <row r="69" spans="2:8" hidden="1" x14ac:dyDescent="0.25">
      <c r="B69" s="255"/>
      <c r="C69" s="192" t="s">
        <v>297</v>
      </c>
      <c r="D69" s="193">
        <f>SUM(D70:D71)</f>
        <v>56797657</v>
      </c>
      <c r="E69" s="193">
        <f t="shared" ref="E69:F69" si="16">SUM(E70:E71)</f>
        <v>11191650</v>
      </c>
      <c r="F69" s="193">
        <f t="shared" si="16"/>
        <v>67989307</v>
      </c>
    </row>
    <row r="70" spans="2:8" hidden="1" x14ac:dyDescent="0.25">
      <c r="B70" s="255"/>
      <c r="C70" s="187" t="s">
        <v>319</v>
      </c>
      <c r="D70" s="188">
        <f>33483806</f>
        <v>33483806</v>
      </c>
      <c r="E70" s="189">
        <f>1200000</f>
        <v>1200000</v>
      </c>
      <c r="F70" s="190">
        <f>SUM(D70:E70)</f>
        <v>34683806</v>
      </c>
    </row>
    <row r="71" spans="2:8" hidden="1" x14ac:dyDescent="0.25">
      <c r="B71" s="255"/>
      <c r="C71" s="187" t="s">
        <v>320</v>
      </c>
      <c r="D71" s="191">
        <v>23313851</v>
      </c>
      <c r="E71" s="191">
        <v>9991650</v>
      </c>
      <c r="F71" s="190">
        <f>SUM(D71:E71)</f>
        <v>33305501</v>
      </c>
    </row>
    <row r="72" spans="2:8" hidden="1" x14ac:dyDescent="0.25">
      <c r="B72" s="255"/>
      <c r="C72" s="194" t="s">
        <v>298</v>
      </c>
      <c r="D72" s="196">
        <f>D69-D73</f>
        <v>56797657</v>
      </c>
      <c r="E72" s="196">
        <f>E69-E73</f>
        <v>11191650</v>
      </c>
      <c r="F72" s="196">
        <f t="shared" ref="F72:F73" si="17">SUM(D72:E72)</f>
        <v>67989307</v>
      </c>
    </row>
    <row r="73" spans="2:8" hidden="1" x14ac:dyDescent="0.25">
      <c r="B73" s="255"/>
      <c r="C73" s="194" t="s">
        <v>299</v>
      </c>
      <c r="D73" s="191"/>
      <c r="E73" s="199"/>
      <c r="F73" s="196">
        <f t="shared" si="17"/>
        <v>0</v>
      </c>
    </row>
    <row r="74" spans="2:8" hidden="1" x14ac:dyDescent="0.25">
      <c r="B74" s="255"/>
    </row>
    <row r="75" spans="2:8" hidden="1" x14ac:dyDescent="0.25">
      <c r="B75" s="255" t="s">
        <v>323</v>
      </c>
      <c r="C75" s="186" t="s">
        <v>307</v>
      </c>
      <c r="D75" s="186" t="s">
        <v>295</v>
      </c>
      <c r="E75" s="186" t="s">
        <v>296</v>
      </c>
      <c r="F75" s="186" t="s">
        <v>255</v>
      </c>
    </row>
    <row r="76" spans="2:8" hidden="1" x14ac:dyDescent="0.25">
      <c r="B76" s="255"/>
      <c r="C76" s="192" t="s">
        <v>297</v>
      </c>
      <c r="D76" s="193">
        <f>SUM(D77:D78)</f>
        <v>15330063</v>
      </c>
      <c r="E76" s="193">
        <f t="shared" ref="E76:F76" si="18">SUM(E77:E78)</f>
        <v>6570027</v>
      </c>
      <c r="F76" s="193">
        <f t="shared" si="18"/>
        <v>21900090</v>
      </c>
    </row>
    <row r="77" spans="2:8" hidden="1" x14ac:dyDescent="0.25">
      <c r="B77" s="255"/>
      <c r="C77" s="187" t="s">
        <v>319</v>
      </c>
      <c r="D77" s="188">
        <f>13211712</f>
        <v>13211712</v>
      </c>
      <c r="E77" s="189">
        <f>5662162</f>
        <v>5662162</v>
      </c>
      <c r="F77" s="190">
        <f>SUM(D77:E77)</f>
        <v>18873874</v>
      </c>
    </row>
    <row r="78" spans="2:8" hidden="1" x14ac:dyDescent="0.25">
      <c r="B78" s="255"/>
      <c r="C78" s="187" t="s">
        <v>320</v>
      </c>
      <c r="D78" s="191">
        <v>2118351</v>
      </c>
      <c r="E78" s="191">
        <v>907865</v>
      </c>
      <c r="F78" s="190">
        <f>SUM(D78:E78)</f>
        <v>3026216</v>
      </c>
    </row>
    <row r="79" spans="2:8" hidden="1" x14ac:dyDescent="0.25">
      <c r="B79" s="255"/>
      <c r="C79" s="194" t="s">
        <v>298</v>
      </c>
      <c r="D79" s="196">
        <f>D76-D80</f>
        <v>15330063</v>
      </c>
      <c r="E79" s="196">
        <f>E76-E80</f>
        <v>6570027</v>
      </c>
      <c r="F79" s="196">
        <f t="shared" ref="F79:F80" si="19">SUM(D79:E79)</f>
        <v>21900090</v>
      </c>
    </row>
    <row r="80" spans="2:8" hidden="1" x14ac:dyDescent="0.25">
      <c r="B80" s="255"/>
      <c r="C80" s="194" t="s">
        <v>299</v>
      </c>
      <c r="D80" s="199"/>
      <c r="E80" s="199"/>
      <c r="F80" s="196">
        <f t="shared" si="19"/>
        <v>0</v>
      </c>
    </row>
    <row r="81" spans="2:6" hidden="1" x14ac:dyDescent="0.25">
      <c r="B81" s="255"/>
    </row>
    <row r="82" spans="2:6" hidden="1" x14ac:dyDescent="0.25">
      <c r="B82" s="255" t="s">
        <v>323</v>
      </c>
      <c r="C82" s="262" t="s">
        <v>308</v>
      </c>
      <c r="D82" s="262" t="s">
        <v>295</v>
      </c>
      <c r="E82" s="262" t="s">
        <v>296</v>
      </c>
      <c r="F82" s="262" t="s">
        <v>255</v>
      </c>
    </row>
    <row r="83" spans="2:6" hidden="1" x14ac:dyDescent="0.25">
      <c r="B83" s="255"/>
      <c r="C83" s="263" t="s">
        <v>297</v>
      </c>
      <c r="D83" s="264">
        <f>SUM(D84:D85)</f>
        <v>14657904</v>
      </c>
      <c r="E83" s="264">
        <f t="shared" ref="E83:F83" si="20">SUM(E84:E85)</f>
        <v>9109459</v>
      </c>
      <c r="F83" s="264">
        <f t="shared" si="20"/>
        <v>23767363</v>
      </c>
    </row>
    <row r="84" spans="2:6" hidden="1" x14ac:dyDescent="0.25">
      <c r="B84" s="255"/>
      <c r="C84" s="265" t="s">
        <v>319</v>
      </c>
      <c r="D84" s="188">
        <v>12431545</v>
      </c>
      <c r="E84" s="189">
        <f>2827500+5327805</f>
        <v>8155305</v>
      </c>
      <c r="F84" s="266">
        <f>SUM(D84:E84)</f>
        <v>20586850</v>
      </c>
    </row>
    <row r="85" spans="2:6" hidden="1" x14ac:dyDescent="0.25">
      <c r="B85" s="255"/>
      <c r="C85" s="265" t="s">
        <v>320</v>
      </c>
      <c r="D85" s="267">
        <v>2226359</v>
      </c>
      <c r="E85" s="267">
        <v>954154</v>
      </c>
      <c r="F85" s="266">
        <f>SUM(D85:E85)</f>
        <v>3180513</v>
      </c>
    </row>
    <row r="86" spans="2:6" hidden="1" x14ac:dyDescent="0.25">
      <c r="B86" s="255"/>
      <c r="C86" s="252" t="s">
        <v>298</v>
      </c>
      <c r="D86" s="253">
        <f>D83-D87</f>
        <v>14657904</v>
      </c>
      <c r="E86" s="253">
        <f>E83-E87</f>
        <v>7556000</v>
      </c>
      <c r="F86" s="253">
        <f t="shared" ref="F86:F87" si="21">SUM(D86:E86)</f>
        <v>22213904</v>
      </c>
    </row>
    <row r="87" spans="2:6" hidden="1" x14ac:dyDescent="0.25">
      <c r="B87" s="255"/>
      <c r="C87" s="252" t="s">
        <v>299</v>
      </c>
      <c r="D87" s="251"/>
      <c r="E87" s="254">
        <v>1553459</v>
      </c>
      <c r="F87" s="253">
        <f t="shared" si="21"/>
        <v>1553459</v>
      </c>
    </row>
    <row r="88" spans="2:6" hidden="1" x14ac:dyDescent="0.25">
      <c r="B88" s="255"/>
    </row>
    <row r="89" spans="2:6" hidden="1" x14ac:dyDescent="0.25">
      <c r="B89" s="255" t="s">
        <v>323</v>
      </c>
      <c r="C89" s="186" t="s">
        <v>309</v>
      </c>
      <c r="D89" s="186" t="s">
        <v>295</v>
      </c>
      <c r="E89" s="186" t="s">
        <v>296</v>
      </c>
      <c r="F89" s="186" t="s">
        <v>255</v>
      </c>
    </row>
    <row r="90" spans="2:6" hidden="1" x14ac:dyDescent="0.25">
      <c r="B90" s="255"/>
      <c r="C90" s="192" t="s">
        <v>297</v>
      </c>
      <c r="D90" s="193">
        <f>SUM(D91:D92)</f>
        <v>99400420</v>
      </c>
      <c r="E90" s="193">
        <f t="shared" ref="E90:F90" si="22">SUM(E91:E92)</f>
        <v>8727101</v>
      </c>
      <c r="F90" s="193">
        <f t="shared" si="22"/>
        <v>108127521</v>
      </c>
    </row>
    <row r="91" spans="2:6" hidden="1" x14ac:dyDescent="0.25">
      <c r="B91" s="255"/>
      <c r="C91" s="187" t="s">
        <v>319</v>
      </c>
      <c r="D91" s="188">
        <v>84637185</v>
      </c>
      <c r="E91" s="189">
        <v>2400000</v>
      </c>
      <c r="F91" s="190">
        <f>SUM(D91:E91)</f>
        <v>87037185</v>
      </c>
    </row>
    <row r="92" spans="2:6" hidden="1" x14ac:dyDescent="0.25">
      <c r="B92" s="255"/>
      <c r="C92" s="187" t="s">
        <v>320</v>
      </c>
      <c r="D92" s="191">
        <v>14763235</v>
      </c>
      <c r="E92" s="191">
        <v>6327101</v>
      </c>
      <c r="F92" s="190">
        <f>SUM(D92:E92)</f>
        <v>21090336</v>
      </c>
    </row>
    <row r="93" spans="2:6" hidden="1" x14ac:dyDescent="0.25">
      <c r="B93" s="255"/>
      <c r="C93" s="194" t="s">
        <v>298</v>
      </c>
      <c r="D93" s="196">
        <f>D90-D94</f>
        <v>99400420</v>
      </c>
      <c r="E93" s="196">
        <f>E90-E94</f>
        <v>8727101</v>
      </c>
      <c r="F93" s="196">
        <f t="shared" ref="F93:F94" si="23">SUM(D93:E93)</f>
        <v>108127521</v>
      </c>
    </row>
    <row r="94" spans="2:6" hidden="1" x14ac:dyDescent="0.25">
      <c r="B94" s="255"/>
      <c r="C94" s="194" t="s">
        <v>299</v>
      </c>
      <c r="D94" s="191"/>
      <c r="E94" s="199"/>
      <c r="F94" s="196">
        <f t="shared" si="23"/>
        <v>0</v>
      </c>
    </row>
    <row r="95" spans="2:6" hidden="1" x14ac:dyDescent="0.25">
      <c r="B95" s="255"/>
    </row>
    <row r="96" spans="2:6" hidden="1" x14ac:dyDescent="0.25">
      <c r="B96" s="255" t="s">
        <v>323</v>
      </c>
      <c r="C96" s="186" t="s">
        <v>310</v>
      </c>
      <c r="D96" s="186" t="s">
        <v>295</v>
      </c>
      <c r="E96" s="186" t="s">
        <v>296</v>
      </c>
      <c r="F96" s="186" t="s">
        <v>255</v>
      </c>
    </row>
    <row r="97" spans="1:10" hidden="1" x14ac:dyDescent="0.25">
      <c r="B97" s="255"/>
      <c r="C97" s="192" t="s">
        <v>297</v>
      </c>
      <c r="D97" s="193">
        <f>SUM(D98:D99)</f>
        <v>9804000</v>
      </c>
      <c r="E97" s="193">
        <f t="shared" ref="E97:F97" si="24">SUM(E98:E99)</f>
        <v>4201714</v>
      </c>
      <c r="F97" s="193">
        <f t="shared" si="24"/>
        <v>14005714</v>
      </c>
    </row>
    <row r="98" spans="1:10" hidden="1" x14ac:dyDescent="0.25">
      <c r="B98" s="255"/>
      <c r="C98" s="187" t="s">
        <v>319</v>
      </c>
      <c r="D98" s="188">
        <v>8175800</v>
      </c>
      <c r="E98" s="189">
        <v>3503914</v>
      </c>
      <c r="F98" s="190">
        <f>SUM(D98:E98)</f>
        <v>11679714</v>
      </c>
    </row>
    <row r="99" spans="1:10" hidden="1" x14ac:dyDescent="0.25">
      <c r="B99" s="255"/>
      <c r="C99" s="187" t="s">
        <v>320</v>
      </c>
      <c r="D99" s="191">
        <v>1628200</v>
      </c>
      <c r="E99" s="191">
        <v>697800</v>
      </c>
      <c r="F99" s="190">
        <f>SUM(D99:E99)</f>
        <v>2326000</v>
      </c>
    </row>
    <row r="100" spans="1:10" hidden="1" x14ac:dyDescent="0.25">
      <c r="B100" s="255"/>
      <c r="C100" s="194" t="s">
        <v>298</v>
      </c>
      <c r="D100" s="196">
        <f>D97-D101</f>
        <v>9804000</v>
      </c>
      <c r="E100" s="196">
        <f>E97-E101</f>
        <v>4201714</v>
      </c>
      <c r="F100" s="196">
        <f t="shared" ref="F100:F101" si="25">SUM(D100:E100)</f>
        <v>14005714</v>
      </c>
    </row>
    <row r="101" spans="1:10" hidden="1" x14ac:dyDescent="0.25">
      <c r="B101" s="255"/>
      <c r="C101" s="194" t="s">
        <v>299</v>
      </c>
      <c r="D101" s="191"/>
      <c r="E101" s="191"/>
      <c r="F101" s="196">
        <f t="shared" si="25"/>
        <v>0</v>
      </c>
    </row>
    <row r="102" spans="1:10" hidden="1" x14ac:dyDescent="0.25"/>
    <row r="103" spans="1:10" hidden="1" x14ac:dyDescent="0.25">
      <c r="J103" s="288">
        <f>E22-J25</f>
        <v>-2957360612</v>
      </c>
    </row>
    <row r="104" spans="1:10" hidden="1" x14ac:dyDescent="0.25">
      <c r="E104" s="294" t="e">
        <f>E22-I17</f>
        <v>#REF!</v>
      </c>
    </row>
    <row r="105" spans="1:10" hidden="1" x14ac:dyDescent="0.25"/>
    <row r="106" spans="1:10" hidden="1" x14ac:dyDescent="0.25"/>
    <row r="107" spans="1:10" hidden="1" x14ac:dyDescent="0.25"/>
    <row r="108" spans="1:10" hidden="1" x14ac:dyDescent="0.25">
      <c r="I108" s="287"/>
    </row>
    <row r="110" spans="1:10" ht="15.75" hidden="1" x14ac:dyDescent="0.25">
      <c r="A110" s="619" t="s">
        <v>364</v>
      </c>
      <c r="B110" s="619"/>
      <c r="C110" s="619" t="s">
        <v>365</v>
      </c>
      <c r="D110" s="619"/>
      <c r="E110" s="622" t="s">
        <v>366</v>
      </c>
      <c r="F110" s="622"/>
      <c r="G110" s="622"/>
      <c r="H110" s="622"/>
    </row>
    <row r="111" spans="1:10" ht="31.7" hidden="1" customHeight="1" x14ac:dyDescent="0.25">
      <c r="A111" s="646" t="s">
        <v>386</v>
      </c>
      <c r="B111" s="646"/>
      <c r="C111" s="613" t="s">
        <v>361</v>
      </c>
      <c r="D111" s="613"/>
      <c r="E111" s="623" t="s">
        <v>367</v>
      </c>
      <c r="F111" s="623"/>
      <c r="G111" s="623"/>
      <c r="H111" s="623"/>
    </row>
    <row r="112" spans="1:10" hidden="1" x14ac:dyDescent="0.25">
      <c r="A112" s="175"/>
      <c r="B112" s="153"/>
      <c r="C112" s="600" t="s">
        <v>220</v>
      </c>
      <c r="D112" s="600"/>
      <c r="E112" s="618" t="s">
        <v>363</v>
      </c>
      <c r="F112" s="618"/>
      <c r="G112" s="618"/>
      <c r="H112" s="618"/>
    </row>
    <row r="113" spans="1:8" hidden="1" x14ac:dyDescent="0.25">
      <c r="A113" s="151"/>
      <c r="B113" s="153"/>
      <c r="C113" s="153"/>
      <c r="D113" s="600"/>
      <c r="E113" s="600"/>
      <c r="F113" s="154"/>
      <c r="G113" s="344"/>
      <c r="H113" s="344"/>
    </row>
    <row r="114" spans="1:8" hidden="1" x14ac:dyDescent="0.25">
      <c r="A114" s="151"/>
      <c r="B114" s="153"/>
      <c r="C114" s="153"/>
      <c r="D114" s="153"/>
      <c r="E114" s="153"/>
      <c r="F114" s="151"/>
      <c r="G114" s="155"/>
      <c r="H114" s="155"/>
    </row>
    <row r="115" spans="1:8" hidden="1" x14ac:dyDescent="0.25">
      <c r="A115" s="151"/>
      <c r="B115" s="617"/>
      <c r="C115" s="617"/>
      <c r="D115" s="153"/>
      <c r="E115" s="153"/>
      <c r="F115" s="151"/>
      <c r="G115" s="155"/>
      <c r="H115" s="155"/>
    </row>
    <row r="116" spans="1:8" hidden="1" x14ac:dyDescent="0.25">
      <c r="A116" s="151"/>
      <c r="B116" s="158"/>
      <c r="C116" s="153"/>
      <c r="D116" s="153"/>
      <c r="E116" s="153"/>
      <c r="F116" s="151"/>
      <c r="G116" s="155"/>
      <c r="H116" s="155"/>
    </row>
    <row r="117" spans="1:8" hidden="1" x14ac:dyDescent="0.25">
      <c r="A117" s="154"/>
      <c r="B117" s="153"/>
      <c r="C117" s="153"/>
      <c r="D117" s="153"/>
      <c r="E117" s="153"/>
      <c r="F117" s="151"/>
      <c r="G117" s="155"/>
      <c r="H117" s="155"/>
    </row>
    <row r="118" spans="1:8" hidden="1" x14ac:dyDescent="0.25">
      <c r="A118" s="151"/>
      <c r="B118" s="153"/>
      <c r="C118" s="153"/>
      <c r="D118" s="153"/>
      <c r="E118" s="153"/>
      <c r="F118" s="151"/>
      <c r="G118" s="155"/>
      <c r="H118" s="155"/>
    </row>
    <row r="119" spans="1:8" ht="15.75" hidden="1" x14ac:dyDescent="0.25">
      <c r="A119" s="176"/>
      <c r="B119" s="177"/>
      <c r="C119" s="620" t="s">
        <v>362</v>
      </c>
      <c r="D119" s="620"/>
      <c r="E119" s="615" t="s">
        <v>330</v>
      </c>
      <c r="F119" s="615"/>
      <c r="G119" s="615"/>
      <c r="H119" s="615"/>
    </row>
    <row r="120" spans="1:8" hidden="1" x14ac:dyDescent="0.25"/>
    <row r="121" spans="1:8" hidden="1" x14ac:dyDescent="0.25"/>
    <row r="122" spans="1:8" hidden="1" x14ac:dyDescent="0.25"/>
    <row r="123" spans="1:8" hidden="1" x14ac:dyDescent="0.25"/>
    <row r="124" spans="1:8" hidden="1" x14ac:dyDescent="0.25"/>
    <row r="125" spans="1:8" hidden="1" x14ac:dyDescent="0.25"/>
    <row r="126" spans="1:8" hidden="1" x14ac:dyDescent="0.25"/>
    <row r="127" spans="1:8" hidden="1" x14ac:dyDescent="0.25"/>
    <row r="128" spans="1:8" hidden="1" x14ac:dyDescent="0.25"/>
    <row r="129" hidden="1" x14ac:dyDescent="0.25"/>
    <row r="130" hidden="1" x14ac:dyDescent="0.25"/>
  </sheetData>
  <mergeCells count="22">
    <mergeCell ref="C112:D112"/>
    <mergeCell ref="E112:H112"/>
    <mergeCell ref="D113:E113"/>
    <mergeCell ref="B115:C115"/>
    <mergeCell ref="C119:D119"/>
    <mergeCell ref="E119:H119"/>
    <mergeCell ref="A110:B110"/>
    <mergeCell ref="C110:D110"/>
    <mergeCell ref="E110:H110"/>
    <mergeCell ref="A111:B111"/>
    <mergeCell ref="C111:D111"/>
    <mergeCell ref="E111:H111"/>
    <mergeCell ref="G29:H29"/>
    <mergeCell ref="A3:G3"/>
    <mergeCell ref="A4:G4"/>
    <mergeCell ref="A5:G5"/>
    <mergeCell ref="F6:G6"/>
    <mergeCell ref="A7:A8"/>
    <mergeCell ref="B7:B8"/>
    <mergeCell ref="C7:C8"/>
    <mergeCell ref="D7:F7"/>
    <mergeCell ref="G7:G8"/>
  </mergeCells>
  <pageMargins left="0.59055118110236227" right="0.31496062992125984" top="0.62992125984251968" bottom="0.74803149606299213" header="0.31496062992125984" footer="0.31496062992125984"/>
  <pageSetup paperSize="9" scale="75" orientation="portrait" verticalDpi="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J23"/>
  <sheetViews>
    <sheetView zoomScale="85" zoomScaleNormal="85" workbookViewId="0">
      <pane xSplit="16" ySplit="10" topLeftCell="Q11" activePane="bottomRight" state="frozen"/>
      <selection pane="topRight" activeCell="Q1" sqref="Q1"/>
      <selection pane="bottomLeft" activeCell="A11" sqref="A11"/>
      <selection pane="bottomRight" activeCell="G9" sqref="G9"/>
    </sheetView>
  </sheetViews>
  <sheetFormatPr defaultColWidth="9" defaultRowHeight="15" x14ac:dyDescent="0.25"/>
  <cols>
    <col min="1" max="1" width="6.140625" style="38" customWidth="1"/>
    <col min="2" max="2" width="43.5703125" style="2" customWidth="1"/>
    <col min="3" max="3" width="11.5703125" style="2" customWidth="1"/>
    <col min="4" max="4" width="14.42578125" style="107" customWidth="1"/>
    <col min="5" max="5" width="11.42578125" style="2" customWidth="1"/>
    <col min="6" max="6" width="14.85546875" style="2" customWidth="1"/>
    <col min="7" max="7" width="11.5703125" style="2" customWidth="1"/>
    <col min="8" max="9" width="14.85546875" style="2" customWidth="1"/>
    <col min="10" max="10" width="18" style="2" customWidth="1"/>
    <col min="11" max="16384" width="9" style="2"/>
  </cols>
  <sheetData>
    <row r="1" spans="1:10" ht="13.7" customHeight="1" x14ac:dyDescent="0.25">
      <c r="A1" s="648" t="s">
        <v>331</v>
      </c>
      <c r="B1" s="648"/>
      <c r="H1" s="687" t="s">
        <v>289</v>
      </c>
      <c r="I1" s="687"/>
    </row>
    <row r="2" spans="1:10" x14ac:dyDescent="0.25">
      <c r="A2" s="87"/>
    </row>
    <row r="3" spans="1:10" ht="18.75" x14ac:dyDescent="0.3">
      <c r="A3" s="601" t="s">
        <v>369</v>
      </c>
      <c r="B3" s="601"/>
      <c r="C3" s="601"/>
      <c r="D3" s="601"/>
      <c r="E3" s="601"/>
      <c r="F3" s="601"/>
      <c r="G3" s="601"/>
      <c r="H3" s="601"/>
      <c r="I3" s="601"/>
    </row>
    <row r="4" spans="1:10" ht="18.75" x14ac:dyDescent="0.3">
      <c r="A4" s="602" t="str">
        <f>'67'!A5:G5</f>
        <v>(Kèm theo Nghị quyết số 13/NQ-HĐND ngày 25 tháng 3 năm 2026 của HĐND  xã Quỳnh Nhai)</v>
      </c>
      <c r="B4" s="602"/>
      <c r="C4" s="602"/>
      <c r="D4" s="602"/>
      <c r="E4" s="602"/>
      <c r="F4" s="602"/>
      <c r="G4" s="602"/>
      <c r="H4" s="602"/>
      <c r="I4" s="602"/>
    </row>
    <row r="5" spans="1:10" ht="33.75" customHeight="1" x14ac:dyDescent="0.25">
      <c r="H5" s="688" t="s">
        <v>252</v>
      </c>
      <c r="I5" s="688"/>
    </row>
    <row r="6" spans="1:10" s="20" customFormat="1" ht="43.5" customHeight="1" x14ac:dyDescent="0.2">
      <c r="A6" s="607" t="s">
        <v>14</v>
      </c>
      <c r="B6" s="607" t="s">
        <v>15</v>
      </c>
      <c r="C6" s="605" t="s">
        <v>199</v>
      </c>
      <c r="D6" s="606"/>
      <c r="E6" s="607" t="s">
        <v>318</v>
      </c>
      <c r="F6" s="607"/>
      <c r="G6" s="607" t="s">
        <v>200</v>
      </c>
      <c r="H6" s="607"/>
      <c r="I6" s="607" t="s">
        <v>178</v>
      </c>
    </row>
    <row r="7" spans="1:10" s="20" customFormat="1" ht="30.75" customHeight="1" x14ac:dyDescent="0.2">
      <c r="A7" s="607"/>
      <c r="B7" s="607"/>
      <c r="C7" s="9" t="s">
        <v>201</v>
      </c>
      <c r="D7" s="89" t="s">
        <v>202</v>
      </c>
      <c r="E7" s="9" t="s">
        <v>201</v>
      </c>
      <c r="F7" s="9" t="s">
        <v>202</v>
      </c>
      <c r="G7" s="9" t="s">
        <v>201</v>
      </c>
      <c r="H7" s="9" t="s">
        <v>202</v>
      </c>
      <c r="I7" s="607"/>
    </row>
    <row r="8" spans="1:10" s="37" customFormat="1" ht="30.75" customHeight="1" x14ac:dyDescent="0.25">
      <c r="A8" s="9"/>
      <c r="B8" s="90" t="s">
        <v>216</v>
      </c>
      <c r="C8" s="204">
        <f t="shared" ref="C8:H8" si="0">C9+C13+C23</f>
        <v>0</v>
      </c>
      <c r="D8" s="123">
        <f t="shared" si="0"/>
        <v>0</v>
      </c>
      <c r="E8" s="204">
        <f t="shared" si="0"/>
        <v>0</v>
      </c>
      <c r="F8" s="123">
        <f t="shared" si="0"/>
        <v>0</v>
      </c>
      <c r="G8" s="204">
        <f t="shared" si="0"/>
        <v>0</v>
      </c>
      <c r="H8" s="204">
        <f t="shared" si="0"/>
        <v>0</v>
      </c>
      <c r="I8" s="9"/>
    </row>
    <row r="9" spans="1:10" s="12" customFormat="1" ht="35.25" customHeight="1" x14ac:dyDescent="0.25">
      <c r="A9" s="9" t="s">
        <v>115</v>
      </c>
      <c r="B9" s="3" t="s">
        <v>203</v>
      </c>
      <c r="C9" s="211">
        <f>SUM(C10:C12)</f>
        <v>0</v>
      </c>
      <c r="D9" s="116">
        <f>SUM(D10:D12)</f>
        <v>0</v>
      </c>
      <c r="E9" s="205">
        <f>E10+E12</f>
        <v>0</v>
      </c>
      <c r="F9" s="117">
        <f>SUM(F10:F11)</f>
        <v>0</v>
      </c>
      <c r="G9" s="205">
        <f>SUM(G10:G11)</f>
        <v>0</v>
      </c>
      <c r="H9" s="205">
        <f>SUM(H10:H11)</f>
        <v>0</v>
      </c>
      <c r="I9" s="29"/>
    </row>
    <row r="10" spans="1:10" s="12" customFormat="1" ht="31.5" customHeight="1" x14ac:dyDescent="0.25">
      <c r="A10" s="5">
        <v>1</v>
      </c>
      <c r="B10" s="4" t="s">
        <v>264</v>
      </c>
      <c r="C10" s="212"/>
      <c r="D10" s="116"/>
      <c r="E10" s="206"/>
      <c r="F10" s="118"/>
      <c r="G10" s="206">
        <f>C10-E10</f>
        <v>0</v>
      </c>
      <c r="H10" s="206">
        <f>D10-F10</f>
        <v>0</v>
      </c>
      <c r="I10" s="32"/>
    </row>
    <row r="11" spans="1:10" s="12" customFormat="1" ht="79.5" customHeight="1" x14ac:dyDescent="0.25">
      <c r="A11" s="44">
        <v>2</v>
      </c>
      <c r="B11" s="4" t="s">
        <v>281</v>
      </c>
      <c r="C11" s="212"/>
      <c r="D11" s="118"/>
      <c r="E11" s="206"/>
      <c r="F11" s="118"/>
      <c r="G11" s="206">
        <f t="shared" ref="G11:G23" si="1">C11-E11</f>
        <v>0</v>
      </c>
      <c r="H11" s="206">
        <f t="shared" ref="H11:H23" si="2">D11-F11</f>
        <v>0</v>
      </c>
      <c r="I11" s="32"/>
      <c r="J11" s="60"/>
    </row>
    <row r="12" spans="1:10" s="12" customFormat="1" ht="31.5" customHeight="1" x14ac:dyDescent="0.25">
      <c r="A12" s="44">
        <v>3</v>
      </c>
      <c r="B12" s="4" t="s">
        <v>221</v>
      </c>
      <c r="C12" s="212"/>
      <c r="D12" s="116"/>
      <c r="E12" s="206"/>
      <c r="F12" s="118"/>
      <c r="G12" s="206">
        <f t="shared" si="1"/>
        <v>0</v>
      </c>
      <c r="H12" s="206">
        <f t="shared" si="2"/>
        <v>0</v>
      </c>
      <c r="I12" s="32"/>
      <c r="J12" s="127"/>
    </row>
    <row r="13" spans="1:10" s="37" customFormat="1" ht="28.5" customHeight="1" x14ac:dyDescent="0.25">
      <c r="A13" s="109" t="s">
        <v>71</v>
      </c>
      <c r="B13" s="110" t="s">
        <v>265</v>
      </c>
      <c r="C13" s="207">
        <f>C14+C15+C16+C20+C21+C22</f>
        <v>0</v>
      </c>
      <c r="D13" s="119">
        <f>D14+D15+D16+D20+D21+D22</f>
        <v>0</v>
      </c>
      <c r="E13" s="207">
        <f t="shared" ref="E13:H13" si="3">E14+E15+E16+E20+E21+E22</f>
        <v>0</v>
      </c>
      <c r="F13" s="119">
        <f t="shared" si="3"/>
        <v>0</v>
      </c>
      <c r="G13" s="207">
        <f t="shared" si="3"/>
        <v>0</v>
      </c>
      <c r="H13" s="207">
        <f t="shared" si="3"/>
        <v>0</v>
      </c>
      <c r="I13" s="110"/>
    </row>
    <row r="14" spans="1:10" s="12" customFormat="1" ht="28.5" customHeight="1" x14ac:dyDescent="0.25">
      <c r="A14" s="111">
        <v>1</v>
      </c>
      <c r="B14" s="40" t="s">
        <v>266</v>
      </c>
      <c r="C14" s="40"/>
      <c r="D14" s="114"/>
      <c r="E14" s="208"/>
      <c r="F14" s="120"/>
      <c r="G14" s="206">
        <f t="shared" si="1"/>
        <v>0</v>
      </c>
      <c r="H14" s="206">
        <f t="shared" si="2"/>
        <v>0</v>
      </c>
      <c r="I14" s="40"/>
    </row>
    <row r="15" spans="1:10" s="12" customFormat="1" ht="80.25" customHeight="1" x14ac:dyDescent="0.25">
      <c r="A15" s="111">
        <v>2</v>
      </c>
      <c r="B15" s="4" t="s">
        <v>264</v>
      </c>
      <c r="C15" s="112"/>
      <c r="D15" s="114"/>
      <c r="E15" s="208"/>
      <c r="F15" s="114"/>
      <c r="G15" s="206">
        <f t="shared" si="1"/>
        <v>0</v>
      </c>
      <c r="H15" s="206">
        <f t="shared" si="2"/>
        <v>0</v>
      </c>
      <c r="I15" s="32"/>
    </row>
    <row r="16" spans="1:10" s="12" customFormat="1" ht="26.25" customHeight="1" x14ac:dyDescent="0.25">
      <c r="A16" s="111">
        <v>3</v>
      </c>
      <c r="B16" s="4" t="s">
        <v>284</v>
      </c>
      <c r="C16" s="112"/>
      <c r="D16" s="114">
        <f>SUM(D17:D19)</f>
        <v>0</v>
      </c>
      <c r="E16" s="208">
        <f t="shared" ref="E16:H16" si="4">SUM(E17:E19)</f>
        <v>0</v>
      </c>
      <c r="F16" s="114">
        <f t="shared" si="4"/>
        <v>0</v>
      </c>
      <c r="G16" s="208">
        <f t="shared" si="4"/>
        <v>0</v>
      </c>
      <c r="H16" s="208">
        <f t="shared" si="4"/>
        <v>0</v>
      </c>
      <c r="I16" s="32"/>
    </row>
    <row r="17" spans="1:9" s="108" customFormat="1" ht="71.25" customHeight="1" x14ac:dyDescent="0.25">
      <c r="A17" s="124" t="s">
        <v>285</v>
      </c>
      <c r="B17" s="85" t="s">
        <v>286</v>
      </c>
      <c r="C17" s="125"/>
      <c r="D17" s="126"/>
      <c r="E17" s="210"/>
      <c r="F17" s="126"/>
      <c r="G17" s="209">
        <f t="shared" si="1"/>
        <v>0</v>
      </c>
      <c r="H17" s="209">
        <f t="shared" si="2"/>
        <v>0</v>
      </c>
      <c r="I17" s="86"/>
    </row>
    <row r="18" spans="1:9" s="108" customFormat="1" ht="41.25" customHeight="1" x14ac:dyDescent="0.25">
      <c r="A18" s="124" t="s">
        <v>285</v>
      </c>
      <c r="B18" s="85" t="s">
        <v>287</v>
      </c>
      <c r="C18" s="125"/>
      <c r="D18" s="126"/>
      <c r="E18" s="210"/>
      <c r="F18" s="126"/>
      <c r="G18" s="209"/>
      <c r="H18" s="209">
        <f t="shared" si="2"/>
        <v>0</v>
      </c>
      <c r="I18" s="86"/>
    </row>
    <row r="19" spans="1:9" s="108" customFormat="1" ht="56.25" customHeight="1" x14ac:dyDescent="0.25">
      <c r="A19" s="124" t="s">
        <v>285</v>
      </c>
      <c r="B19" s="85" t="s">
        <v>288</v>
      </c>
      <c r="C19" s="125"/>
      <c r="D19" s="126"/>
      <c r="E19" s="210"/>
      <c r="F19" s="126"/>
      <c r="G19" s="209"/>
      <c r="H19" s="209">
        <f t="shared" si="2"/>
        <v>0</v>
      </c>
      <c r="I19" s="86"/>
    </row>
    <row r="20" spans="1:9" s="12" customFormat="1" ht="28.5" customHeight="1" x14ac:dyDescent="0.25">
      <c r="A20" s="111">
        <v>4</v>
      </c>
      <c r="B20" s="40" t="s">
        <v>267</v>
      </c>
      <c r="C20" s="112"/>
      <c r="D20" s="115"/>
      <c r="E20" s="208"/>
      <c r="F20" s="114"/>
      <c r="G20" s="206">
        <f t="shared" si="1"/>
        <v>0</v>
      </c>
      <c r="H20" s="206">
        <f t="shared" si="2"/>
        <v>0</v>
      </c>
      <c r="I20" s="40"/>
    </row>
    <row r="21" spans="1:9" s="12" customFormat="1" ht="28.5" customHeight="1" x14ac:dyDescent="0.25">
      <c r="A21" s="111">
        <v>5</v>
      </c>
      <c r="B21" s="40" t="s">
        <v>268</v>
      </c>
      <c r="C21" s="40"/>
      <c r="D21" s="121"/>
      <c r="E21" s="208"/>
      <c r="F21" s="120"/>
      <c r="G21" s="206">
        <f t="shared" si="1"/>
        <v>0</v>
      </c>
      <c r="H21" s="206">
        <f t="shared" si="2"/>
        <v>0</v>
      </c>
      <c r="I21" s="40"/>
    </row>
    <row r="22" spans="1:9" s="12" customFormat="1" ht="28.5" customHeight="1" x14ac:dyDescent="0.25">
      <c r="A22" s="111">
        <v>6</v>
      </c>
      <c r="B22" s="40" t="s">
        <v>269</v>
      </c>
      <c r="C22" s="40"/>
      <c r="D22" s="121"/>
      <c r="E22" s="208"/>
      <c r="F22" s="120"/>
      <c r="G22" s="206">
        <f t="shared" si="1"/>
        <v>0</v>
      </c>
      <c r="H22" s="206">
        <f t="shared" si="2"/>
        <v>0</v>
      </c>
      <c r="I22" s="40"/>
    </row>
    <row r="23" spans="1:9" s="37" customFormat="1" ht="28.5" customHeight="1" x14ac:dyDescent="0.25">
      <c r="A23" s="113" t="s">
        <v>89</v>
      </c>
      <c r="B23" s="110" t="s">
        <v>270</v>
      </c>
      <c r="C23" s="110"/>
      <c r="D23" s="122"/>
      <c r="E23" s="204"/>
      <c r="F23" s="123"/>
      <c r="G23" s="206">
        <f t="shared" si="1"/>
        <v>0</v>
      </c>
      <c r="H23" s="206">
        <f t="shared" si="2"/>
        <v>0</v>
      </c>
      <c r="I23" s="110"/>
    </row>
  </sheetData>
  <mergeCells count="11">
    <mergeCell ref="E6:F6"/>
    <mergeCell ref="C6:D6"/>
    <mergeCell ref="H1:I1"/>
    <mergeCell ref="A3:I3"/>
    <mergeCell ref="A4:I4"/>
    <mergeCell ref="H5:I5"/>
    <mergeCell ref="G6:H6"/>
    <mergeCell ref="I6:I7"/>
    <mergeCell ref="A1:B1"/>
    <mergeCell ref="A6:A7"/>
    <mergeCell ref="B6:B7"/>
  </mergeCells>
  <pageMargins left="0.62992125984251968" right="0.27559055118110237" top="0.47244094488188981" bottom="0.74803149606299213" header="0.43307086614173229" footer="0.31496062992125984"/>
  <pageSetup paperSize="9" scale="85"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9</vt:i4>
      </vt:variant>
    </vt:vector>
  </HeadingPairs>
  <TitlesOfParts>
    <vt:vector size="23" baseType="lpstr">
      <vt:lpstr>59</vt:lpstr>
      <vt:lpstr>60</vt:lpstr>
      <vt:lpstr>61</vt:lpstr>
      <vt:lpstr>62</vt:lpstr>
      <vt:lpstr>63</vt:lpstr>
      <vt:lpstr>64</vt:lpstr>
      <vt:lpstr>66</vt:lpstr>
      <vt:lpstr>67</vt:lpstr>
      <vt:lpstr>68</vt:lpstr>
      <vt:lpstr>69</vt:lpstr>
      <vt:lpstr>PL1</vt:lpstr>
      <vt:lpstr>PL2</vt:lpstr>
      <vt:lpstr>PL3</vt:lpstr>
      <vt:lpstr>DP</vt:lpstr>
      <vt:lpstr>'60'!Print_Titles</vt:lpstr>
      <vt:lpstr>'61'!Print_Titles</vt:lpstr>
      <vt:lpstr>'62'!Print_Titles</vt:lpstr>
      <vt:lpstr>'63'!Print_Titles</vt:lpstr>
      <vt:lpstr>'64'!Print_Titles</vt:lpstr>
      <vt:lpstr>'67'!Print_Titles</vt:lpstr>
      <vt:lpstr>'68'!Print_Titles</vt:lpstr>
      <vt:lpstr>'69'!Print_Titles</vt:lpstr>
      <vt:lpstr>'PL2'!Print_Titles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2026-03-20T00:52:02Z</cp:lastPrinted>
  <dcterms:created xsi:type="dcterms:W3CDTF">2018-03-02T07:16:02Z</dcterms:created>
  <dcterms:modified xsi:type="dcterms:W3CDTF">2026-04-04T09:25:30Z</dcterms:modified>
</cp:coreProperties>
</file>